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Cstb.local\data\D2E\PEB\Commun\Prestations TITRE V\Qarnot Comp. Q.rad RTex\"/>
    </mc:Choice>
  </mc:AlternateContent>
  <xr:revisionPtr revIDLastSave="0" documentId="13_ncr:1_{1E29814E-367C-497C-8400-E7E8EFC8E88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TV" sheetId="1" r:id="rId1"/>
  </sheets>
  <externalReferences>
    <externalReference r:id="rId2"/>
  </externalReferences>
  <definedNames>
    <definedName name="Alpha_ch">TV!$D$44</definedName>
    <definedName name="Cep_ch">TV!$D$24</definedName>
    <definedName name="Energie">#REF!</definedName>
    <definedName name="Gain">'[1]CALCULS Gain'!$C$28</definedName>
    <definedName name="H_W_K_m²">TV!$D$20</definedName>
    <definedName name="PCCcent">TV!$D$98</definedName>
    <definedName name="Pn_Qrad_tot">TV!$D$101</definedName>
    <definedName name="Ratio_emission_ch">TV!$D$22</definedName>
    <definedName name="SHON_totale">TV!$D$17</definedName>
    <definedName name="Us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5" i="1" l="1"/>
  <c r="E77" i="1" l="1"/>
  <c r="F77" i="1"/>
  <c r="G77" i="1"/>
  <c r="H77" i="1"/>
  <c r="I77" i="1"/>
  <c r="J77" i="1"/>
  <c r="K77" i="1"/>
  <c r="L77" i="1"/>
  <c r="M77" i="1"/>
  <c r="D77" i="1"/>
  <c r="D111" i="1"/>
  <c r="D99" i="1"/>
  <c r="D93" i="1" l="1"/>
  <c r="M111" i="1" l="1"/>
  <c r="L111" i="1"/>
  <c r="K111" i="1"/>
  <c r="J111" i="1"/>
  <c r="I111" i="1"/>
  <c r="H111" i="1"/>
  <c r="G111" i="1"/>
  <c r="F111" i="1"/>
  <c r="E111" i="1"/>
  <c r="D100" i="1" l="1"/>
  <c r="D101" i="1" s="1"/>
  <c r="D15" i="1" l="1"/>
  <c r="D14" i="1"/>
  <c r="D94" i="1" s="1"/>
  <c r="D95" i="1"/>
  <c r="D96" i="1"/>
  <c r="D97" i="1" l="1"/>
  <c r="E105" i="1"/>
  <c r="F105" i="1"/>
  <c r="G105" i="1"/>
  <c r="H105" i="1"/>
  <c r="I105" i="1"/>
  <c r="J105" i="1"/>
  <c r="K105" i="1"/>
  <c r="L105" i="1"/>
  <c r="M105" i="1"/>
  <c r="D98" i="1" l="1"/>
  <c r="D102" i="1" s="1"/>
  <c r="E70" i="1" l="1"/>
  <c r="E75" i="1" s="1"/>
  <c r="E80" i="1" s="1"/>
  <c r="F70" i="1"/>
  <c r="F75" i="1" s="1"/>
  <c r="F80" i="1" s="1"/>
  <c r="G70" i="1"/>
  <c r="G75" i="1" s="1"/>
  <c r="G80" i="1" s="1"/>
  <c r="H70" i="1"/>
  <c r="H75" i="1" s="1"/>
  <c r="H80" i="1" s="1"/>
  <c r="I70" i="1"/>
  <c r="I75" i="1" s="1"/>
  <c r="I80" i="1" s="1"/>
  <c r="J70" i="1"/>
  <c r="J75" i="1" s="1"/>
  <c r="J80" i="1" s="1"/>
  <c r="K70" i="1"/>
  <c r="K75" i="1" s="1"/>
  <c r="K80" i="1" s="1"/>
  <c r="L70" i="1"/>
  <c r="L75" i="1" s="1"/>
  <c r="L80" i="1" s="1"/>
  <c r="M70" i="1"/>
  <c r="D70" i="1"/>
  <c r="D75" i="1" s="1"/>
  <c r="D80" i="1" s="1"/>
  <c r="E104" i="1" l="1"/>
  <c r="J104" i="1"/>
  <c r="G104" i="1"/>
  <c r="L104" i="1"/>
  <c r="H104" i="1"/>
  <c r="F104" i="1"/>
  <c r="D104" i="1"/>
  <c r="D109" i="1" s="1"/>
  <c r="M104" i="1"/>
  <c r="M109" i="1" s="1"/>
  <c r="M75" i="1"/>
  <c r="K104" i="1"/>
  <c r="K109" i="1" s="1"/>
  <c r="I104" i="1"/>
  <c r="M115" i="1" l="1"/>
  <c r="M122" i="1"/>
  <c r="M114" i="1"/>
  <c r="M118" i="1" s="1"/>
  <c r="M124" i="1"/>
  <c r="M123" i="1"/>
  <c r="M81" i="1"/>
  <c r="M80" i="1"/>
  <c r="M84" i="1" s="1"/>
  <c r="M86" i="1" s="1"/>
  <c r="D122" i="1"/>
  <c r="D114" i="1"/>
  <c r="D118" i="1" s="1"/>
  <c r="D124" i="1"/>
  <c r="D123" i="1"/>
  <c r="G109" i="1"/>
  <c r="G114" i="1" s="1"/>
  <c r="L109" i="1"/>
  <c r="F109" i="1"/>
  <c r="F114" i="1" s="1"/>
  <c r="K114" i="1"/>
  <c r="E109" i="1"/>
  <c r="E114" i="1" s="1"/>
  <c r="M89" i="1" l="1"/>
  <c r="M90" i="1"/>
  <c r="M88" i="1"/>
  <c r="M120" i="1"/>
  <c r="L114" i="1"/>
  <c r="L118" i="1" s="1"/>
  <c r="L115" i="1"/>
  <c r="G115" i="1"/>
  <c r="G124" i="1"/>
  <c r="G122" i="1"/>
  <c r="G123" i="1"/>
  <c r="F115" i="1"/>
  <c r="F123" i="1"/>
  <c r="F124" i="1"/>
  <c r="F122" i="1"/>
  <c r="L123" i="1"/>
  <c r="L124" i="1"/>
  <c r="L122" i="1"/>
  <c r="E115" i="1"/>
  <c r="E123" i="1"/>
  <c r="E124" i="1"/>
  <c r="E122" i="1"/>
  <c r="K115" i="1"/>
  <c r="K124" i="1"/>
  <c r="K122" i="1"/>
  <c r="K123" i="1"/>
  <c r="D115" i="1"/>
  <c r="H109" i="1"/>
  <c r="H114" i="1" s="1"/>
  <c r="J109" i="1"/>
  <c r="I109" i="1"/>
  <c r="I114" i="1" s="1"/>
  <c r="I118" i="1" s="1"/>
  <c r="E118" i="1"/>
  <c r="K118" i="1"/>
  <c r="F118" i="1"/>
  <c r="G118" i="1"/>
  <c r="M127" i="1" l="1"/>
  <c r="M126" i="1"/>
  <c r="M128" i="1"/>
  <c r="J115" i="1"/>
  <c r="J114" i="1"/>
  <c r="J118" i="1" s="1"/>
  <c r="E120" i="1"/>
  <c r="E126" i="1" s="1"/>
  <c r="G120" i="1"/>
  <c r="G127" i="1" s="1"/>
  <c r="F120" i="1"/>
  <c r="F128" i="1" s="1"/>
  <c r="L120" i="1"/>
  <c r="L127" i="1" s="1"/>
  <c r="K120" i="1"/>
  <c r="K128" i="1" s="1"/>
  <c r="I115" i="1"/>
  <c r="I123" i="1"/>
  <c r="I124" i="1"/>
  <c r="I122" i="1"/>
  <c r="H115" i="1"/>
  <c r="H124" i="1"/>
  <c r="H122" i="1"/>
  <c r="H123" i="1"/>
  <c r="J123" i="1"/>
  <c r="J124" i="1"/>
  <c r="J122" i="1"/>
  <c r="D120" i="1"/>
  <c r="D126" i="1" s="1"/>
  <c r="H118" i="1"/>
  <c r="D132" i="1" l="1"/>
  <c r="E127" i="1"/>
  <c r="E128" i="1"/>
  <c r="G126" i="1"/>
  <c r="F127" i="1"/>
  <c r="F126" i="1"/>
  <c r="L128" i="1"/>
  <c r="H120" i="1"/>
  <c r="H126" i="1" s="1"/>
  <c r="G128" i="1"/>
  <c r="K127" i="1"/>
  <c r="L126" i="1"/>
  <c r="K126" i="1"/>
  <c r="D128" i="1"/>
  <c r="D127" i="1"/>
  <c r="J120" i="1"/>
  <c r="I120" i="1"/>
  <c r="H127" i="1" l="1"/>
  <c r="H128" i="1"/>
  <c r="I128" i="1"/>
  <c r="I126" i="1"/>
  <c r="I127" i="1"/>
  <c r="J128" i="1"/>
  <c r="J126" i="1"/>
  <c r="J127" i="1"/>
  <c r="E132" i="1" l="1"/>
  <c r="G132" i="1" s="1"/>
  <c r="D133" i="1"/>
  <c r="E133" i="1"/>
  <c r="G133" i="1" l="1"/>
  <c r="D43" i="1" s="1"/>
  <c r="D134" i="1"/>
  <c r="E134" i="1"/>
  <c r="D44" i="1" l="1"/>
  <c r="D45" i="1" s="1"/>
  <c r="H132" i="1"/>
  <c r="G134" i="1"/>
  <c r="H133" i="1"/>
  <c r="H134" i="1" l="1"/>
  <c r="D84" i="1" l="1"/>
  <c r="D81" i="1"/>
  <c r="D86" i="1" l="1"/>
  <c r="D89" i="1" l="1"/>
  <c r="D90" i="1"/>
  <c r="D88" i="1"/>
  <c r="J84" i="1"/>
  <c r="L84" i="1"/>
  <c r="J81" i="1"/>
  <c r="F81" i="1"/>
  <c r="G84" i="1"/>
  <c r="F84" i="1"/>
  <c r="H81" i="1"/>
  <c r="G81" i="1"/>
  <c r="L81" i="1"/>
  <c r="I84" i="1"/>
  <c r="I81" i="1"/>
  <c r="E81" i="1"/>
  <c r="E84" i="1"/>
  <c r="K84" i="1"/>
  <c r="H84" i="1"/>
  <c r="H86" i="1" s="1"/>
  <c r="K81" i="1"/>
  <c r="E86" i="1" l="1"/>
  <c r="G86" i="1"/>
  <c r="G90" i="1" s="1"/>
  <c r="K86" i="1"/>
  <c r="K89" i="1" s="1"/>
  <c r="L86" i="1"/>
  <c r="L88" i="1" s="1"/>
  <c r="J86" i="1"/>
  <c r="J90" i="1" s="1"/>
  <c r="H89" i="1"/>
  <c r="H88" i="1"/>
  <c r="H90" i="1"/>
  <c r="I86" i="1"/>
  <c r="J88" i="1"/>
  <c r="K90" i="1"/>
  <c r="E88" i="1"/>
  <c r="E89" i="1"/>
  <c r="E90" i="1"/>
  <c r="F86" i="1"/>
  <c r="G89" i="1"/>
  <c r="G88" i="1"/>
  <c r="K88" i="1" l="1"/>
  <c r="L90" i="1"/>
  <c r="L89" i="1"/>
  <c r="J89" i="1"/>
  <c r="I90" i="1"/>
  <c r="I89" i="1"/>
  <c r="I88" i="1"/>
  <c r="F88" i="1"/>
  <c r="F89" i="1"/>
  <c r="F90" i="1"/>
  <c r="N90" i="1" s="1"/>
  <c r="N89" i="1" l="1"/>
  <c r="N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MOREIRA Sebastien</author>
    <author>JALLET Paul</author>
  </authors>
  <commentList>
    <comment ref="D22" authorId="0" shapeId="0" xr:uid="{895E1155-873E-4EFE-9680-2A124CD1C29F}">
      <text>
        <r>
          <rPr>
            <b/>
            <sz val="9"/>
            <color indexed="81"/>
            <rFont val="Tahoma"/>
            <charset val="1"/>
          </rPr>
          <t xml:space="preserve">CSTB:
</t>
        </r>
        <r>
          <rPr>
            <sz val="9"/>
            <color indexed="81"/>
            <rFont val="Tahoma"/>
            <family val="2"/>
          </rPr>
          <t>Note: à utiliser dans le cas où le radiateur numérique est associé à des radiateurs électriques classiques (dans les mêmes locaux et/ou dans d'autres locaux) dans le bâtiment considéré. Le ratio d'émission, aussi noté Ratem, doit être déterminé conformément au §10.6 "Systèmes d'émission composites et multiples de la méthode Th-CEex". Dans le cas où radiateurs numériques et classiques sont associés dans une même pièce, on considèrera une configuration "base et complément par temps froid" au sens de la méthode ThCE-ex.</t>
        </r>
      </text>
    </comment>
    <comment ref="C8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MOREIRA Sebastien:</t>
        </r>
        <r>
          <rPr>
            <sz val="9"/>
            <color indexed="81"/>
            <rFont val="Tahoma"/>
            <family val="2"/>
          </rPr>
          <t xml:space="preserve">
Réponse :
Formule pdf : caractéristique générale de Qrad (ne pas l'utiliser)
Formule algo : conso de l'alilm en prenant en compte la partie rejeté dans l'air considérée comme gratuite (à utiliser)</t>
        </r>
      </text>
    </comment>
    <comment ref="C98" authorId="1" shapeId="0" xr:uid="{FB2B16C1-2556-4D63-A43B-E95A5858E067}">
      <text>
        <r>
          <rPr>
            <b/>
            <sz val="9"/>
            <color indexed="81"/>
            <rFont val="Tahoma"/>
            <family val="2"/>
          </rPr>
          <t>JALLET Paul:</t>
        </r>
        <r>
          <rPr>
            <sz val="9"/>
            <color indexed="81"/>
            <rFont val="Tahoma"/>
            <family val="2"/>
          </rPr>
          <t xml:space="preserve">
Révision Paul à discuter</t>
        </r>
      </text>
    </comment>
  </commentList>
</comments>
</file>

<file path=xl/sharedStrings.xml><?xml version="1.0" encoding="utf-8"?>
<sst xmlns="http://schemas.openxmlformats.org/spreadsheetml/2006/main" count="165" uniqueCount="136">
  <si>
    <t>Type d'horaires d'occupation</t>
  </si>
  <si>
    <t>de</t>
  </si>
  <si>
    <t>à</t>
  </si>
  <si>
    <t>longs (logements de toutes sortes)</t>
  </si>
  <si>
    <t>moyens (tertiaire)</t>
  </si>
  <si>
    <t>courts (2 autres cas)</t>
  </si>
  <si>
    <t>Taux de charge moyen</t>
  </si>
  <si>
    <t>Coefficient de 
pondération (fréquence)</t>
  </si>
  <si>
    <t>Q_CM (W)</t>
  </si>
  <si>
    <t>W_appoint (W)</t>
  </si>
  <si>
    <t>W_routeur (W)</t>
  </si>
  <si>
    <t>W_capteurs (W)</t>
  </si>
  <si>
    <t>W_abs_alim (W)</t>
  </si>
  <si>
    <t>Qfou (W)</t>
  </si>
  <si>
    <t>Qmax_CM_seules (W)</t>
  </si>
  <si>
    <t>Waux_0 (W)</t>
  </si>
  <si>
    <t>rdt_alimentation</t>
  </si>
  <si>
    <t>rdt_alimentation_ref</t>
  </si>
  <si>
    <t>beta_coupure</t>
  </si>
  <si>
    <t>Qabs_max_longs (W)</t>
  </si>
  <si>
    <t>Qabs_max_moyens (W)</t>
  </si>
  <si>
    <t>Qabs_max_courts (W)</t>
  </si>
  <si>
    <t>C_dim_ref (avec Pn = 788 W)</t>
  </si>
  <si>
    <t>H en W/K</t>
  </si>
  <si>
    <t>PCC100 par le calcul (kW)</t>
  </si>
  <si>
    <t>Pn_Qrad (kW)</t>
  </si>
  <si>
    <t>Pn_Qrad_total (kW)</t>
  </si>
  <si>
    <t>Puissances totales absorbées 
en fonction du coefficient de pondération</t>
  </si>
  <si>
    <t>usage longs (logements de toutes sortes)</t>
  </si>
  <si>
    <t>usage moyens (tertiaire)</t>
  </si>
  <si>
    <t>usage courts (2 autres cas)</t>
  </si>
  <si>
    <t>Qabs (W)</t>
  </si>
  <si>
    <t>Pfou x_fonc (W)</t>
  </si>
  <si>
    <t>Pcons x_fonc (W)</t>
  </si>
  <si>
    <t>Wabs (W)</t>
  </si>
  <si>
    <t xml:space="preserve">Tableau de synthèse final </t>
  </si>
  <si>
    <t>Pmfou (W)</t>
  </si>
  <si>
    <t>Pmcons (W)</t>
  </si>
  <si>
    <t>Pveil (W)</t>
  </si>
  <si>
    <t>Taux de charge x_dim 
(= Tch x_final dans notre cas)</t>
  </si>
  <si>
    <t>Performances énergétiques
de Qrad</t>
  </si>
  <si>
    <t>Zone climatique</t>
  </si>
  <si>
    <t>H1-a, H1-b, H1-c</t>
  </si>
  <si>
    <t>H2-a, H2-b, H2-c, H2-d</t>
  </si>
  <si>
    <t>H3</t>
  </si>
  <si>
    <t>Température extérieure conventionnelle 
de base, theta_eb (°C)</t>
  </si>
  <si>
    <t>Altitude</t>
  </si>
  <si>
    <t>Inférieure 
ou égale à 400m</t>
  </si>
  <si>
    <t>Correction (°C)</t>
  </si>
  <si>
    <t>Entre 400m et 800m</t>
  </si>
  <si>
    <t>Supérieure à 800m</t>
  </si>
  <si>
    <t>Correction d'altitude (°C)</t>
  </si>
  <si>
    <t>Niveau de température</t>
  </si>
  <si>
    <t>Occupation</t>
  </si>
  <si>
    <t>Réduction de chauffage
de moins de 48h</t>
  </si>
  <si>
    <t>Réduction de chauffage
de plus de 48h</t>
  </si>
  <si>
    <t>Elevé (établissements sanitaires)</t>
  </si>
  <si>
    <t>Réduit (autres)</t>
  </si>
  <si>
    <t>Moyen (logements et tertiaires)</t>
  </si>
  <si>
    <t>Exemple d'utilisation avec le taux de charge moyen initial 
et les performances actuelles de Qrad</t>
  </si>
  <si>
    <t>Température de consigne pour le chauffage  (°C)</t>
  </si>
  <si>
    <t>Température extérieure conventionnelle (°C)</t>
  </si>
  <si>
    <t>Température extérieure corrigée (°C)</t>
  </si>
  <si>
    <t>Tableau récapitulant le taux de charge moyen des générateurs à combustion 
issu de la méthode Th-CEX</t>
  </si>
  <si>
    <t>Taux de charge initial</t>
  </si>
  <si>
    <t>Calcul de PCC100</t>
  </si>
  <si>
    <t xml:space="preserve">Calcul des consommations 
avec le taux de charge final corrigé </t>
  </si>
  <si>
    <t>Détermination du nouveau taux de charge 
final corrigé</t>
  </si>
  <si>
    <t>Calculs intermédiaires pour déterminer 
le taux de charge final corrigé</t>
  </si>
  <si>
    <t>Coefficients de pondération x_dim
(= coeff de pondération x_final)</t>
  </si>
  <si>
    <t>Beta_coupure</t>
  </si>
  <si>
    <t>Alpha_ch</t>
  </si>
  <si>
    <t>Outils d'aide à l'application</t>
  </si>
  <si>
    <t>Données d'entrée</t>
  </si>
  <si>
    <t>Caractéristiques du bâtiment :</t>
  </si>
  <si>
    <t>Usage de la zone</t>
  </si>
  <si>
    <t>SHON totale (m²)</t>
  </si>
  <si>
    <t>Données de sortie :</t>
  </si>
  <si>
    <t>Surface utile/habitable totale (m²)</t>
  </si>
  <si>
    <t>Situation géographique du projet</t>
  </si>
  <si>
    <t>Horaires d'occupation</t>
  </si>
  <si>
    <t>Établissements sanitaires avec hébergement</t>
  </si>
  <si>
    <t>Hôtellerie et autres hébergements</t>
  </si>
  <si>
    <t>Locaux où il n’est pas possible pour des raisons de conservation des objets entreposés de laisser dériver sensiblement la température</t>
  </si>
  <si>
    <t>Enseignement</t>
  </si>
  <si>
    <t>Commerces</t>
  </si>
  <si>
    <t>Restauration plusieurs repas par jour</t>
  </si>
  <si>
    <t>Locaux non compris dans une autre catégorie</t>
  </si>
  <si>
    <t>Stockage</t>
  </si>
  <si>
    <t>Transport</t>
  </si>
  <si>
    <t>Restauration un repas par jour</t>
  </si>
  <si>
    <t>Types d’usages</t>
  </si>
  <si>
    <t>Longs</t>
  </si>
  <si>
    <t>Élevé</t>
  </si>
  <si>
    <t>Logement</t>
  </si>
  <si>
    <t>Moyen</t>
  </si>
  <si>
    <t>Établissements sanitaires sans hébergement</t>
  </si>
  <si>
    <t>Moyens</t>
  </si>
  <si>
    <t>Bureau</t>
  </si>
  <si>
    <t>Salles de spectacles, de conférences</t>
  </si>
  <si>
    <t>Établissement sportif</t>
  </si>
  <si>
    <t>Industrie</t>
  </si>
  <si>
    <t>Réduit</t>
  </si>
  <si>
    <t>Courts</t>
  </si>
  <si>
    <t>Radiateur numérique QRAD</t>
  </si>
  <si>
    <t>Consommation de chauffage en énergie primaire du bâtiment</t>
  </si>
  <si>
    <t>Cep_ch (kWh/m².an)</t>
  </si>
  <si>
    <t xml:space="preserve">Puissance maximale absorbée par le QRAD à pleine charge (ensemble des composants), 
notée Pw_abs_Qrad_pc (W) </t>
  </si>
  <si>
    <t>Puissance maximale absorbée par les cartes mères seules,
notée Pw_abs_CM_pc (W)</t>
  </si>
  <si>
    <t>Puissance électrique absorbée du QRAD en mode veille englobant routeur, capteurs et alimentation associée,
notée Pw_abs_veille (W)</t>
  </si>
  <si>
    <t>Données disponibles 
en sortie de calcul 
avec le moteur Th-CE ex</t>
  </si>
  <si>
    <t>Déperditions totales du bâtiment par unité de surface</t>
  </si>
  <si>
    <t>Constantes</t>
  </si>
  <si>
    <t>Efficacité de référence du bloc d'alimentation, 
notée η_alimentation_ref</t>
  </si>
  <si>
    <t>Fraction de consommation non-valorisable lors des périodes de coupure de signal internet, 
notée β_coupure (-)</t>
  </si>
  <si>
    <t>Cep_ch corrigé (kWh/(m².an))</t>
  </si>
  <si>
    <t>Nomenclature</t>
  </si>
  <si>
    <t>Cellule de résultat du Titre V</t>
  </si>
  <si>
    <t>Cellules à ne pas modifier</t>
  </si>
  <si>
    <t>Cellules dont les valeurs sont à choisir dans une liste</t>
  </si>
  <si>
    <t>Cellules dont les valeurs sont  à renseigner directement</t>
  </si>
  <si>
    <t>Cellules dont les valeurs sont à obtenir après utilisation 
du moteur de calcul Th-CE ex</t>
  </si>
  <si>
    <t>Futur arrêté relatif à l’agrément des modalités de prise en compte des systèmes de radiateurs numériques Qrad dans la réglementation thermique pour les bâtiments existants (et neufs)</t>
  </si>
  <si>
    <t>Efficacité du bloc d'alimentation du Qrad, 
notée η_alimentation (-)</t>
  </si>
  <si>
    <t>Inférieure ou égale à 400m</t>
  </si>
  <si>
    <t>Nb_QRAD</t>
  </si>
  <si>
    <t>Rendement conventionnel annuel moyen de génération, 
noté Rconv_chauffEP (-) en énergie primaire</t>
  </si>
  <si>
    <t>Alpha_ch (sur la consommation en énergie primaire)</t>
  </si>
  <si>
    <t>Rconv_chauff</t>
  </si>
  <si>
    <t>Nombre de radiateurs numériques identiques (-)</t>
  </si>
  <si>
    <t>H (en W/(K,m²))</t>
  </si>
  <si>
    <t>Qmax_CM+Aux+ALim (W)</t>
  </si>
  <si>
    <t>H1-a</t>
  </si>
  <si>
    <t>Ratio_emission_ch</t>
  </si>
  <si>
    <t>Part de besoin assurée par les radiateurs numériques</t>
  </si>
  <si>
    <t xml:space="preserve"> Version 1: avril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</si>
</sst>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00"/>
    <numFmt numFmtId="165" formatCode="0.0"/>
    <numFmt numFmtId="166" formatCode="0&quot;m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indexed="8"/>
      <name val="Calibri"/>
      <family val="2"/>
    </font>
    <font>
      <b/>
      <sz val="6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835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8" borderId="2" xfId="0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9" borderId="2" xfId="1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2" xfId="0" applyNumberFormat="1" applyFill="1" applyBorder="1" applyAlignment="1">
      <alignment horizontal="center"/>
    </xf>
    <xf numFmtId="165" fontId="0" fillId="9" borderId="2" xfId="0" applyNumberForma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 wrapText="1"/>
    </xf>
    <xf numFmtId="164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165" fontId="8" fillId="6" borderId="2" xfId="0" applyNumberFormat="1" applyFont="1" applyFill="1" applyBorder="1" applyAlignment="1">
      <alignment horizontal="center"/>
    </xf>
    <xf numFmtId="2" fontId="8" fillId="6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9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13" borderId="17" xfId="0" applyFont="1" applyFill="1" applyBorder="1" applyAlignment="1" applyProtection="1">
      <alignment vertical="center"/>
    </xf>
    <xf numFmtId="0" fontId="12" fillId="13" borderId="21" xfId="0" applyFont="1" applyFill="1" applyBorder="1" applyAlignment="1" applyProtection="1">
      <alignment vertical="center"/>
    </xf>
    <xf numFmtId="0" fontId="12" fillId="10" borderId="17" xfId="0" applyFont="1" applyFill="1" applyBorder="1" applyProtection="1"/>
    <xf numFmtId="0" fontId="12" fillId="10" borderId="0" xfId="0" applyFont="1" applyFill="1" applyBorder="1" applyAlignment="1" applyProtection="1">
      <alignment horizontal="left" vertical="center"/>
    </xf>
    <xf numFmtId="0" fontId="12" fillId="10" borderId="21" xfId="0" applyFont="1" applyFill="1" applyBorder="1" applyAlignment="1" applyProtection="1">
      <alignment vertical="center"/>
    </xf>
    <xf numFmtId="0" fontId="12" fillId="10" borderId="0" xfId="0" applyFont="1" applyFill="1" applyBorder="1" applyAlignment="1" applyProtection="1">
      <alignment horizontal="left" vertical="center" wrapText="1"/>
    </xf>
    <xf numFmtId="0" fontId="13" fillId="13" borderId="18" xfId="0" applyFont="1" applyFill="1" applyBorder="1" applyAlignment="1" applyProtection="1">
      <alignment vertical="center"/>
    </xf>
    <xf numFmtId="0" fontId="12" fillId="13" borderId="19" xfId="0" applyFont="1" applyFill="1" applyBorder="1" applyAlignment="1" applyProtection="1">
      <alignment horizontal="left" vertical="center"/>
    </xf>
    <xf numFmtId="0" fontId="12" fillId="13" borderId="20" xfId="0" applyFont="1" applyFill="1" applyBorder="1" applyAlignment="1" applyProtection="1">
      <alignment vertical="center"/>
    </xf>
    <xf numFmtId="0" fontId="15" fillId="10" borderId="21" xfId="0" applyFont="1" applyFill="1" applyBorder="1" applyAlignment="1" applyProtection="1">
      <alignment horizontal="center" vertical="center" wrapText="1"/>
    </xf>
    <xf numFmtId="0" fontId="15" fillId="10" borderId="21" xfId="0" applyFont="1" applyFill="1" applyBorder="1" applyAlignment="1" applyProtection="1">
      <alignment vertical="center" wrapText="1"/>
    </xf>
    <xf numFmtId="0" fontId="12" fillId="10" borderId="22" xfId="0" applyFont="1" applyFill="1" applyBorder="1" applyProtection="1"/>
    <xf numFmtId="0" fontId="12" fillId="10" borderId="23" xfId="0" applyFont="1" applyFill="1" applyBorder="1" applyAlignment="1" applyProtection="1">
      <alignment horizontal="left" vertical="center" wrapText="1"/>
    </xf>
    <xf numFmtId="0" fontId="12" fillId="10" borderId="16" xfId="0" applyFont="1" applyFill="1" applyBorder="1" applyAlignment="1" applyProtection="1">
      <alignment vertical="center"/>
    </xf>
    <xf numFmtId="0" fontId="13" fillId="13" borderId="0" xfId="0" applyFont="1" applyFill="1" applyBorder="1" applyAlignment="1" applyProtection="1">
      <alignment horizontal="left" vertical="center"/>
    </xf>
    <xf numFmtId="0" fontId="12" fillId="10" borderId="26" xfId="0" applyFont="1" applyFill="1" applyBorder="1" applyAlignment="1" applyProtection="1">
      <alignment vertical="center" wrapText="1"/>
    </xf>
    <xf numFmtId="0" fontId="12" fillId="15" borderId="17" xfId="0" applyFont="1" applyFill="1" applyBorder="1" applyAlignment="1" applyProtection="1">
      <alignment vertical="center"/>
    </xf>
    <xf numFmtId="0" fontId="12" fillId="15" borderId="0" xfId="0" applyFont="1" applyFill="1" applyBorder="1" applyAlignment="1" applyProtection="1">
      <alignment horizontal="left" vertical="center"/>
    </xf>
    <xf numFmtId="0" fontId="12" fillId="15" borderId="21" xfId="0" applyFont="1" applyFill="1" applyBorder="1" applyProtection="1"/>
    <xf numFmtId="0" fontId="12" fillId="15" borderId="17" xfId="0" applyFont="1" applyFill="1" applyBorder="1" applyProtection="1"/>
    <xf numFmtId="0" fontId="14" fillId="15" borderId="17" xfId="0" applyFont="1" applyFill="1" applyBorder="1" applyProtection="1"/>
    <xf numFmtId="0" fontId="15" fillId="15" borderId="22" xfId="0" applyFont="1" applyFill="1" applyBorder="1" applyProtection="1"/>
    <xf numFmtId="0" fontId="15" fillId="15" borderId="23" xfId="0" applyFont="1" applyFill="1" applyBorder="1" applyAlignment="1" applyProtection="1">
      <alignment horizontal="left"/>
    </xf>
    <xf numFmtId="0" fontId="15" fillId="15" borderId="16" xfId="0" applyFont="1" applyFill="1" applyBorder="1" applyProtection="1"/>
    <xf numFmtId="0" fontId="17" fillId="0" borderId="3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2" fillId="10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4" fillId="14" borderId="19" xfId="0" applyFont="1" applyFill="1" applyBorder="1" applyAlignment="1" applyProtection="1">
      <alignment horizontal="left"/>
    </xf>
    <xf numFmtId="0" fontId="12" fillId="10" borderId="25" xfId="0" applyFont="1" applyFill="1" applyBorder="1" applyAlignment="1" applyProtection="1">
      <alignment horizontal="left" vertical="center" wrapText="1"/>
    </xf>
    <xf numFmtId="0" fontId="12" fillId="15" borderId="0" xfId="0" applyFont="1" applyFill="1" applyBorder="1" applyAlignment="1" applyProtection="1">
      <alignment vertical="center" wrapText="1"/>
    </xf>
    <xf numFmtId="0" fontId="12" fillId="10" borderId="10" xfId="0" applyFont="1" applyFill="1" applyBorder="1" applyProtection="1"/>
    <xf numFmtId="0" fontId="12" fillId="10" borderId="11" xfId="0" applyFont="1" applyFill="1" applyBorder="1" applyAlignment="1" applyProtection="1">
      <alignment horizontal="left" vertical="center" wrapText="1"/>
    </xf>
    <xf numFmtId="0" fontId="12" fillId="10" borderId="15" xfId="0" applyFont="1" applyFill="1" applyBorder="1" applyAlignment="1" applyProtection="1">
      <alignment vertical="center"/>
    </xf>
    <xf numFmtId="0" fontId="12" fillId="10" borderId="18" xfId="0" applyFont="1" applyFill="1" applyBorder="1" applyProtection="1"/>
    <xf numFmtId="0" fontId="12" fillId="10" borderId="19" xfId="0" applyFont="1" applyFill="1" applyBorder="1" applyAlignment="1" applyProtection="1">
      <alignment horizontal="left" vertical="center"/>
    </xf>
    <xf numFmtId="0" fontId="12" fillId="10" borderId="20" xfId="0" applyFont="1" applyFill="1" applyBorder="1" applyAlignment="1" applyProtection="1">
      <alignment vertical="center"/>
    </xf>
    <xf numFmtId="0" fontId="3" fillId="0" borderId="0" xfId="0" applyFont="1" applyAlignment="1"/>
    <xf numFmtId="0" fontId="2" fillId="18" borderId="2" xfId="0" applyFont="1" applyFill="1" applyBorder="1" applyAlignment="1">
      <alignment horizontal="center"/>
    </xf>
    <xf numFmtId="165" fontId="2" fillId="18" borderId="2" xfId="0" applyNumberFormat="1" applyFont="1" applyFill="1" applyBorder="1" applyAlignment="1">
      <alignment horizontal="center"/>
    </xf>
    <xf numFmtId="1" fontId="2" fillId="18" borderId="2" xfId="2" applyNumberFormat="1" applyFont="1" applyFill="1" applyBorder="1" applyAlignment="1">
      <alignment horizontal="center"/>
    </xf>
    <xf numFmtId="165" fontId="2" fillId="18" borderId="2" xfId="2" applyNumberFormat="1" applyFont="1" applyFill="1" applyBorder="1" applyAlignment="1">
      <alignment horizontal="center"/>
    </xf>
    <xf numFmtId="2" fontId="2" fillId="18" borderId="2" xfId="0" applyNumberFormat="1" applyFont="1" applyFill="1" applyBorder="1" applyAlignment="1">
      <alignment horizontal="center"/>
    </xf>
    <xf numFmtId="0" fontId="12" fillId="10" borderId="8" xfId="0" applyFont="1" applyFill="1" applyBorder="1" applyAlignment="1" applyProtection="1">
      <alignment horizontal="left" vertical="center" wrapText="1"/>
    </xf>
    <xf numFmtId="0" fontId="12" fillId="10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2" fillId="10" borderId="23" xfId="0" applyFont="1" applyFill="1" applyBorder="1" applyAlignment="1" applyProtection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66" fontId="12" fillId="10" borderId="23" xfId="0" applyNumberFormat="1" applyFont="1" applyFill="1" applyBorder="1" applyAlignment="1" applyProtection="1">
      <alignment horizontal="center" vertical="center"/>
    </xf>
    <xf numFmtId="0" fontId="12" fillId="13" borderId="0" xfId="0" applyFont="1" applyFill="1" applyBorder="1" applyAlignment="1" applyProtection="1">
      <alignment horizontal="center" vertical="center"/>
    </xf>
    <xf numFmtId="165" fontId="24" fillId="17" borderId="2" xfId="0" applyNumberFormat="1" applyFont="1" applyFill="1" applyBorder="1" applyAlignment="1" applyProtection="1">
      <alignment horizontal="center" vertical="center"/>
    </xf>
    <xf numFmtId="0" fontId="12" fillId="10" borderId="0" xfId="0" applyFont="1" applyFill="1" applyBorder="1" applyAlignment="1" applyProtection="1">
      <alignment horizontal="center" vertical="center" wrapText="1"/>
    </xf>
    <xf numFmtId="0" fontId="16" fillId="12" borderId="2" xfId="0" applyNumberFormat="1" applyFont="1" applyFill="1" applyBorder="1" applyAlignment="1" applyProtection="1">
      <alignment horizontal="center" vertical="center"/>
      <protection locked="0"/>
    </xf>
    <xf numFmtId="0" fontId="16" fillId="12" borderId="31" xfId="0" applyNumberFormat="1" applyFont="1" applyFill="1" applyBorder="1" applyAlignment="1" applyProtection="1">
      <alignment horizontal="center" vertical="center"/>
      <protection locked="0"/>
    </xf>
    <xf numFmtId="0" fontId="16" fillId="12" borderId="24" xfId="0" applyNumberFormat="1" applyFont="1" applyFill="1" applyBorder="1" applyAlignment="1" applyProtection="1">
      <alignment horizontal="center" vertical="center"/>
      <protection locked="0"/>
    </xf>
    <xf numFmtId="0" fontId="16" fillId="12" borderId="32" xfId="0" applyNumberFormat="1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 applyProtection="1">
      <alignment horizontal="center" vertical="center"/>
    </xf>
    <xf numFmtId="0" fontId="0" fillId="7" borderId="2" xfId="0" applyFont="1" applyFill="1" applyBorder="1" applyAlignment="1" applyProtection="1">
      <alignment horizontal="center"/>
    </xf>
    <xf numFmtId="0" fontId="20" fillId="10" borderId="27" xfId="0" applyFont="1" applyFill="1" applyBorder="1" applyAlignment="1" applyProtection="1">
      <alignment horizontal="center" vertical="center" wrapText="1"/>
    </xf>
    <xf numFmtId="0" fontId="20" fillId="10" borderId="28" xfId="0" applyFont="1" applyFill="1" applyBorder="1" applyAlignment="1" applyProtection="1">
      <alignment horizontal="center" vertical="center"/>
    </xf>
    <xf numFmtId="0" fontId="20" fillId="10" borderId="29" xfId="0" applyFont="1" applyFill="1" applyBorder="1" applyAlignment="1" applyProtection="1">
      <alignment horizontal="center" vertical="center"/>
    </xf>
    <xf numFmtId="0" fontId="20" fillId="10" borderId="31" xfId="0" applyFont="1" applyFill="1" applyBorder="1" applyAlignment="1" applyProtection="1">
      <alignment horizontal="center" vertical="center"/>
    </xf>
    <xf numFmtId="0" fontId="20" fillId="10" borderId="24" xfId="0" applyFont="1" applyFill="1" applyBorder="1" applyAlignment="1" applyProtection="1">
      <alignment horizontal="center" vertical="center"/>
    </xf>
    <xf numFmtId="0" fontId="20" fillId="10" borderId="32" xfId="0" applyFont="1" applyFill="1" applyBorder="1" applyAlignment="1" applyProtection="1">
      <alignment horizontal="center" vertical="center"/>
    </xf>
    <xf numFmtId="0" fontId="0" fillId="6" borderId="4" xfId="0" applyFont="1" applyFill="1" applyBorder="1" applyAlignment="1" applyProtection="1">
      <alignment horizontal="center"/>
    </xf>
    <xf numFmtId="0" fontId="0" fillId="6" borderId="6" xfId="0" applyFont="1" applyFill="1" applyBorder="1" applyAlignment="1" applyProtection="1">
      <alignment horizontal="center"/>
    </xf>
    <xf numFmtId="0" fontId="15" fillId="15" borderId="23" xfId="0" applyFont="1" applyFill="1" applyBorder="1" applyAlignment="1" applyProtection="1">
      <alignment horizontal="center"/>
    </xf>
    <xf numFmtId="0" fontId="12" fillId="15" borderId="0" xfId="0" applyFont="1" applyFill="1" applyBorder="1" applyAlignment="1" applyProtection="1">
      <alignment horizontal="center" vertical="center"/>
    </xf>
    <xf numFmtId="2" fontId="12" fillId="17" borderId="7" xfId="0" applyNumberFormat="1" applyFont="1" applyFill="1" applyBorder="1" applyAlignment="1" applyProtection="1">
      <alignment horizontal="center" vertical="center"/>
    </xf>
    <xf numFmtId="2" fontId="12" fillId="17" borderId="8" xfId="0" applyNumberFormat="1" applyFont="1" applyFill="1" applyBorder="1" applyAlignment="1" applyProtection="1">
      <alignment horizontal="center" vertical="center"/>
    </xf>
    <xf numFmtId="2" fontId="12" fillId="17" borderId="3" xfId="0" applyNumberFormat="1" applyFont="1" applyFill="1" applyBorder="1" applyAlignment="1" applyProtection="1">
      <alignment horizontal="center" vertical="center"/>
    </xf>
    <xf numFmtId="0" fontId="16" fillId="16" borderId="7" xfId="0" applyNumberFormat="1" applyFont="1" applyFill="1" applyBorder="1" applyAlignment="1" applyProtection="1">
      <alignment horizontal="center" vertical="center"/>
    </xf>
    <xf numFmtId="0" fontId="16" fillId="16" borderId="8" xfId="0" applyNumberFormat="1" applyFont="1" applyFill="1" applyBorder="1" applyAlignment="1" applyProtection="1">
      <alignment horizontal="center" vertical="center"/>
    </xf>
    <xf numFmtId="0" fontId="16" fillId="16" borderId="3" xfId="0" applyNumberFormat="1" applyFont="1" applyFill="1" applyBorder="1" applyAlignment="1" applyProtection="1">
      <alignment horizontal="center" vertical="center"/>
    </xf>
    <xf numFmtId="0" fontId="15" fillId="12" borderId="7" xfId="0" applyFont="1" applyFill="1" applyBorder="1" applyAlignment="1" applyProtection="1">
      <alignment horizontal="center" vertical="center"/>
      <protection locked="0"/>
    </xf>
    <xf numFmtId="0" fontId="15" fillId="12" borderId="8" xfId="0" applyFont="1" applyFill="1" applyBorder="1" applyAlignment="1" applyProtection="1">
      <alignment horizontal="center" vertical="center"/>
      <protection locked="0"/>
    </xf>
    <xf numFmtId="0" fontId="15" fillId="12" borderId="3" xfId="0" applyFont="1" applyFill="1" applyBorder="1" applyAlignment="1" applyProtection="1">
      <alignment horizontal="center" vertical="center"/>
      <protection locked="0"/>
    </xf>
    <xf numFmtId="164" fontId="12" fillId="16" borderId="7" xfId="0" applyNumberFormat="1" applyFont="1" applyFill="1" applyBorder="1" applyAlignment="1" applyProtection="1">
      <alignment horizontal="center" vertical="center"/>
    </xf>
    <xf numFmtId="164" fontId="12" fillId="16" borderId="8" xfId="0" applyNumberFormat="1" applyFont="1" applyFill="1" applyBorder="1" applyAlignment="1" applyProtection="1">
      <alignment horizontal="center" vertical="center"/>
    </xf>
    <xf numFmtId="164" fontId="12" fillId="16" borderId="3" xfId="0" applyNumberFormat="1" applyFont="1" applyFill="1" applyBorder="1" applyAlignment="1" applyProtection="1">
      <alignment horizontal="center" vertical="center"/>
    </xf>
    <xf numFmtId="0" fontId="12" fillId="13" borderId="19" xfId="0" applyFont="1" applyFill="1" applyBorder="1" applyAlignment="1" applyProtection="1">
      <alignment horizontal="center" vertical="center"/>
    </xf>
    <xf numFmtId="0" fontId="12" fillId="10" borderId="24" xfId="0" applyFont="1" applyFill="1" applyBorder="1" applyAlignment="1" applyProtection="1">
      <alignment horizontal="center" vertical="center"/>
    </xf>
    <xf numFmtId="0" fontId="12" fillId="16" borderId="27" xfId="0" applyNumberFormat="1" applyFont="1" applyFill="1" applyBorder="1" applyAlignment="1" applyProtection="1">
      <alignment horizontal="center" vertical="center"/>
    </xf>
    <xf numFmtId="0" fontId="12" fillId="16" borderId="28" xfId="0" applyNumberFormat="1" applyFont="1" applyFill="1" applyBorder="1" applyAlignment="1" applyProtection="1">
      <alignment horizontal="center" vertical="center"/>
    </xf>
    <xf numFmtId="0" fontId="12" fillId="16" borderId="29" xfId="0" applyNumberFormat="1" applyFont="1" applyFill="1" applyBorder="1" applyAlignment="1" applyProtection="1">
      <alignment horizontal="center" vertical="center"/>
    </xf>
    <xf numFmtId="166" fontId="12" fillId="10" borderId="28" xfId="0" applyNumberFormat="1" applyFont="1" applyFill="1" applyBorder="1" applyAlignment="1" applyProtection="1">
      <alignment horizontal="center" vertical="center"/>
    </xf>
    <xf numFmtId="0" fontId="20" fillId="10" borderId="2" xfId="0" applyFont="1" applyFill="1" applyBorder="1" applyAlignment="1" applyProtection="1">
      <alignment horizontal="center" vertical="center"/>
    </xf>
    <xf numFmtId="0" fontId="20" fillId="10" borderId="7" xfId="0" applyFont="1" applyFill="1" applyBorder="1" applyAlignment="1" applyProtection="1">
      <alignment horizontal="center" vertical="center"/>
    </xf>
    <xf numFmtId="0" fontId="12" fillId="16" borderId="2" xfId="0" applyNumberFormat="1" applyFont="1" applyFill="1" applyBorder="1" applyAlignment="1" applyProtection="1">
      <alignment horizontal="center" vertical="center"/>
    </xf>
    <xf numFmtId="0" fontId="19" fillId="13" borderId="2" xfId="0" applyFont="1" applyFill="1" applyBorder="1" applyAlignment="1" applyProtection="1">
      <alignment horizontal="center"/>
    </xf>
    <xf numFmtId="0" fontId="20" fillId="10" borderId="27" xfId="0" applyFont="1" applyFill="1" applyBorder="1" applyAlignment="1" applyProtection="1">
      <alignment horizontal="center" vertical="center"/>
    </xf>
    <xf numFmtId="0" fontId="0" fillId="12" borderId="2" xfId="0" applyFont="1" applyFill="1" applyBorder="1" applyAlignment="1" applyProtection="1">
      <alignment horizontal="center"/>
    </xf>
    <xf numFmtId="0" fontId="15" fillId="7" borderId="7" xfId="0" applyFont="1" applyFill="1" applyBorder="1" applyAlignment="1" applyProtection="1">
      <alignment horizontal="center" vertical="center"/>
      <protection locked="0"/>
    </xf>
    <xf numFmtId="0" fontId="15" fillId="7" borderId="8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166" fontId="12" fillId="10" borderId="25" xfId="0" applyNumberFormat="1" applyFont="1" applyFill="1" applyBorder="1" applyAlignment="1" applyProtection="1">
      <alignment horizontal="center" vertical="center"/>
    </xf>
    <xf numFmtId="0" fontId="12" fillId="10" borderId="19" xfId="0" applyFont="1" applyFill="1" applyBorder="1" applyAlignment="1" applyProtection="1">
      <alignment horizontal="center" vertical="center"/>
    </xf>
    <xf numFmtId="0" fontId="0" fillId="17" borderId="2" xfId="0" applyFont="1" applyFill="1" applyBorder="1" applyAlignment="1" applyProtection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23" fillId="11" borderId="18" xfId="3" applyFont="1" applyFill="1" applyBorder="1" applyAlignment="1" applyProtection="1">
      <alignment horizontal="center" vertical="center" wrapText="1"/>
    </xf>
    <xf numFmtId="0" fontId="23" fillId="11" borderId="19" xfId="3" applyFont="1" applyFill="1" applyBorder="1" applyAlignment="1" applyProtection="1">
      <alignment horizontal="center" vertical="center" wrapText="1"/>
    </xf>
    <xf numFmtId="0" fontId="23" fillId="11" borderId="20" xfId="3" applyFont="1" applyFill="1" applyBorder="1" applyAlignment="1" applyProtection="1">
      <alignment horizontal="center" vertical="center" wrapText="1"/>
    </xf>
    <xf numFmtId="0" fontId="21" fillId="2" borderId="17" xfId="3" applyFont="1" applyFill="1" applyBorder="1" applyAlignment="1" applyProtection="1">
      <alignment horizontal="center" vertical="center" wrapText="1"/>
    </xf>
    <xf numFmtId="0" fontId="21" fillId="2" borderId="0" xfId="3" applyFont="1" applyFill="1" applyBorder="1" applyAlignment="1" applyProtection="1">
      <alignment horizontal="center" vertical="center" wrapText="1"/>
    </xf>
    <xf numFmtId="0" fontId="21" fillId="2" borderId="21" xfId="3" applyFont="1" applyFill="1" applyBorder="1" applyAlignment="1" applyProtection="1">
      <alignment horizontal="center" vertical="center" wrapText="1"/>
    </xf>
    <xf numFmtId="0" fontId="12" fillId="12" borderId="10" xfId="0" applyFont="1" applyFill="1" applyBorder="1" applyAlignment="1" applyProtection="1">
      <alignment vertical="center"/>
    </xf>
    <xf numFmtId="0" fontId="12" fillId="12" borderId="11" xfId="0" applyFont="1" applyFill="1" applyBorder="1" applyAlignment="1" applyProtection="1">
      <alignment vertical="center"/>
    </xf>
    <xf numFmtId="0" fontId="12" fillId="12" borderId="15" xfId="0" applyFont="1" applyFill="1" applyBorder="1" applyAlignment="1" applyProtection="1">
      <alignment vertical="center"/>
    </xf>
    <xf numFmtId="0" fontId="22" fillId="11" borderId="22" xfId="3" applyFont="1" applyFill="1" applyBorder="1" applyAlignment="1" applyProtection="1">
      <alignment horizontal="center" vertical="center" wrapText="1"/>
    </xf>
    <xf numFmtId="0" fontId="22" fillId="11" borderId="23" xfId="3" applyFont="1" applyFill="1" applyBorder="1" applyAlignment="1" applyProtection="1">
      <alignment horizontal="center" vertical="center" wrapText="1"/>
    </xf>
    <xf numFmtId="0" fontId="22" fillId="11" borderId="16" xfId="3" applyFont="1" applyFill="1" applyBorder="1" applyAlignment="1" applyProtection="1">
      <alignment horizontal="center" vertical="center" wrapText="1"/>
    </xf>
    <xf numFmtId="0" fontId="12" fillId="10" borderId="33" xfId="0" applyFont="1" applyFill="1" applyBorder="1" applyAlignment="1" applyProtection="1">
      <alignment horizontal="center" vertical="center" wrapText="1"/>
    </xf>
    <xf numFmtId="0" fontId="12" fillId="10" borderId="17" xfId="0" applyFont="1" applyFill="1" applyBorder="1" applyAlignment="1" applyProtection="1">
      <alignment horizontal="center" vertical="center" wrapText="1"/>
    </xf>
    <xf numFmtId="0" fontId="12" fillId="10" borderId="17" xfId="0" applyFont="1" applyFill="1" applyBorder="1" applyAlignment="1" applyProtection="1">
      <alignment horizontal="center" vertical="center"/>
    </xf>
    <xf numFmtId="0" fontId="12" fillId="10" borderId="34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2" fillId="10" borderId="8" xfId="0" applyFont="1" applyFill="1" applyBorder="1" applyAlignment="1" applyProtection="1">
      <alignment horizontal="center" vertical="center" wrapText="1"/>
    </xf>
    <xf numFmtId="0" fontId="15" fillId="6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 3" xfId="3" xr:uid="{00000000-0005-0000-0000-000002000000}"/>
    <cellStyle name="Pourcentage" xfId="2" builtinId="5"/>
  </cellStyles>
  <dxfs count="3">
    <dxf>
      <font>
        <color rgb="FF969696"/>
      </font>
      <fill>
        <patternFill>
          <bgColor rgb="FF969696"/>
        </patternFill>
      </fill>
    </dxf>
    <dxf>
      <font>
        <color rgb="FF969696"/>
      </font>
      <fill>
        <patternFill>
          <bgColor rgb="FF969696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eira\Downloads\OUTIL_RECUP_CHALEUR_RT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V"/>
      <sheetName val="Feuil1"/>
      <sheetName val="ELEMENTS"/>
      <sheetName val="CALCULS Gain"/>
    </sheetNames>
    <sheetDataSet>
      <sheetData sheetId="0" refreshError="1"/>
      <sheetData sheetId="1" refreshError="1"/>
      <sheetData sheetId="2" refreshError="1"/>
      <sheetData sheetId="3" refreshError="1">
        <row r="28">
          <cell r="C28">
            <v>2020.0432025050038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136"/>
  <sheetViews>
    <sheetView showGridLines="0" tabSelected="1" topLeftCell="A13" zoomScale="112" zoomScaleNormal="112" workbookViewId="0">
      <selection activeCell="H33" sqref="H33"/>
    </sheetView>
  </sheetViews>
  <sheetFormatPr baseColWidth="10" defaultRowHeight="15" x14ac:dyDescent="0.25"/>
  <cols>
    <col min="1" max="1" width="14.5703125" customWidth="1"/>
    <col min="2" max="2" width="33.85546875" customWidth="1"/>
    <col min="3" max="3" width="39.85546875" customWidth="1"/>
    <col min="4" max="4" width="15.7109375" customWidth="1"/>
    <col min="5" max="5" width="16.28515625" customWidth="1"/>
    <col min="6" max="13" width="11.140625" customWidth="1"/>
  </cols>
  <sheetData>
    <row r="1" spans="2:14" ht="19.5" thickBot="1" x14ac:dyDescent="0.35">
      <c r="H1" s="79"/>
      <c r="I1" s="79"/>
      <c r="J1" s="79"/>
      <c r="K1" s="79"/>
      <c r="L1" s="79"/>
      <c r="M1" s="79"/>
      <c r="N1" s="79"/>
    </row>
    <row r="2" spans="2:14" ht="15" customHeight="1" x14ac:dyDescent="0.3">
      <c r="B2" s="145" t="s">
        <v>72</v>
      </c>
      <c r="C2" s="146"/>
      <c r="D2" s="146"/>
      <c r="E2" s="146"/>
      <c r="F2" s="146"/>
      <c r="G2" s="147"/>
      <c r="H2" s="67"/>
      <c r="I2" s="67"/>
      <c r="J2" s="67"/>
      <c r="K2" s="67"/>
      <c r="L2" s="67"/>
      <c r="M2" s="67"/>
      <c r="N2" s="67"/>
    </row>
    <row r="3" spans="2:14" ht="35.25" customHeight="1" x14ac:dyDescent="0.3">
      <c r="B3" s="148" t="s">
        <v>122</v>
      </c>
      <c r="C3" s="149"/>
      <c r="D3" s="149"/>
      <c r="E3" s="149"/>
      <c r="F3" s="149"/>
      <c r="G3" s="150"/>
      <c r="H3" s="67"/>
      <c r="I3" s="67"/>
      <c r="J3" s="67"/>
      <c r="K3" s="67"/>
      <c r="L3" s="67"/>
      <c r="M3" s="67"/>
      <c r="N3" s="67"/>
    </row>
    <row r="4" spans="2:14" ht="30" customHeight="1" thickBot="1" x14ac:dyDescent="0.35">
      <c r="B4" s="154" t="s">
        <v>135</v>
      </c>
      <c r="C4" s="155"/>
      <c r="D4" s="155"/>
      <c r="E4" s="155"/>
      <c r="F4" s="155"/>
      <c r="G4" s="156"/>
      <c r="H4" s="67"/>
      <c r="I4" s="67"/>
      <c r="J4" s="67"/>
      <c r="K4" s="67"/>
      <c r="L4" s="67"/>
      <c r="M4" s="67"/>
      <c r="N4" s="67"/>
    </row>
    <row r="5" spans="2:14" ht="18.75" customHeight="1" thickBot="1" x14ac:dyDescent="0.35">
      <c r="B5" s="151" t="s">
        <v>73</v>
      </c>
      <c r="C5" s="152"/>
      <c r="D5" s="152"/>
      <c r="E5" s="152"/>
      <c r="F5" s="152"/>
      <c r="G5" s="153"/>
      <c r="H5" s="67"/>
      <c r="I5" s="67"/>
      <c r="J5" s="67"/>
      <c r="K5" s="67"/>
      <c r="L5" s="67"/>
      <c r="M5" s="67"/>
      <c r="N5" s="67"/>
    </row>
    <row r="6" spans="2:14" ht="18.75" x14ac:dyDescent="0.3">
      <c r="B6" s="45" t="s">
        <v>79</v>
      </c>
      <c r="C6" s="70"/>
      <c r="D6" s="124"/>
      <c r="E6" s="124"/>
      <c r="F6" s="124"/>
      <c r="G6" s="47"/>
      <c r="H6" s="67"/>
      <c r="I6" s="133" t="s">
        <v>116</v>
      </c>
      <c r="J6" s="133"/>
      <c r="K6" s="133"/>
      <c r="L6" s="133"/>
      <c r="M6" s="133"/>
      <c r="N6" s="67"/>
    </row>
    <row r="7" spans="2:14" ht="18.75" x14ac:dyDescent="0.3">
      <c r="B7" s="41"/>
      <c r="C7" s="42"/>
      <c r="D7" s="125"/>
      <c r="E7" s="125"/>
      <c r="F7" s="125"/>
      <c r="G7" s="43"/>
      <c r="H7" s="67"/>
      <c r="I7" s="134" t="s">
        <v>120</v>
      </c>
      <c r="J7" s="103"/>
      <c r="K7" s="103"/>
      <c r="L7" s="103"/>
      <c r="M7" s="135"/>
      <c r="N7" s="67"/>
    </row>
    <row r="8" spans="2:14" ht="18.75" x14ac:dyDescent="0.3">
      <c r="B8" s="41"/>
      <c r="C8" s="44" t="s">
        <v>41</v>
      </c>
      <c r="D8" s="136" t="s">
        <v>132</v>
      </c>
      <c r="E8" s="137"/>
      <c r="F8" s="138"/>
      <c r="G8" s="43"/>
      <c r="H8" s="67"/>
      <c r="I8" s="105"/>
      <c r="J8" s="106"/>
      <c r="K8" s="106"/>
      <c r="L8" s="106"/>
      <c r="M8" s="135"/>
      <c r="N8" s="67"/>
    </row>
    <row r="9" spans="2:14" ht="18.75" x14ac:dyDescent="0.3">
      <c r="B9" s="41"/>
      <c r="C9" s="44" t="s">
        <v>46</v>
      </c>
      <c r="D9" s="139" t="s">
        <v>124</v>
      </c>
      <c r="E9" s="139"/>
      <c r="F9" s="139"/>
      <c r="G9" s="43"/>
      <c r="H9" s="67"/>
      <c r="I9" s="134" t="s">
        <v>119</v>
      </c>
      <c r="J9" s="103"/>
      <c r="K9" s="103"/>
      <c r="L9" s="103"/>
      <c r="M9" s="101"/>
      <c r="N9" s="67"/>
    </row>
    <row r="10" spans="2:14" ht="18.75" customHeight="1" thickBot="1" x14ac:dyDescent="0.35">
      <c r="B10" s="41"/>
      <c r="C10" s="44"/>
      <c r="D10" s="140"/>
      <c r="E10" s="140"/>
      <c r="F10" s="140"/>
      <c r="G10" s="43"/>
      <c r="H10" s="67"/>
      <c r="I10" s="105"/>
      <c r="J10" s="106"/>
      <c r="K10" s="106"/>
      <c r="L10" s="106"/>
      <c r="M10" s="101"/>
      <c r="N10" s="67"/>
    </row>
    <row r="11" spans="2:14" ht="19.5" thickBot="1" x14ac:dyDescent="0.35">
      <c r="B11" s="45" t="s">
        <v>74</v>
      </c>
      <c r="C11" s="46"/>
      <c r="D11" s="124"/>
      <c r="E11" s="124"/>
      <c r="F11" s="124"/>
      <c r="G11" s="47"/>
      <c r="H11" s="67"/>
      <c r="I11" s="102" t="s">
        <v>121</v>
      </c>
      <c r="J11" s="103"/>
      <c r="K11" s="103"/>
      <c r="L11" s="104"/>
      <c r="M11" s="108"/>
      <c r="N11" s="67"/>
    </row>
    <row r="12" spans="2:14" ht="18.75" x14ac:dyDescent="0.3">
      <c r="B12" s="76"/>
      <c r="C12" s="77"/>
      <c r="D12" s="141"/>
      <c r="E12" s="141"/>
      <c r="F12" s="141"/>
      <c r="G12" s="78"/>
      <c r="H12" s="67"/>
      <c r="I12" s="105"/>
      <c r="J12" s="106"/>
      <c r="K12" s="106"/>
      <c r="L12" s="107"/>
      <c r="M12" s="109"/>
      <c r="N12" s="67"/>
    </row>
    <row r="13" spans="2:14" ht="18.75" customHeight="1" x14ac:dyDescent="0.3">
      <c r="B13" s="41"/>
      <c r="C13" s="44" t="s">
        <v>75</v>
      </c>
      <c r="D13" s="136" t="s">
        <v>94</v>
      </c>
      <c r="E13" s="137"/>
      <c r="F13" s="138"/>
      <c r="G13" s="43"/>
      <c r="H13" s="67"/>
      <c r="I13" s="134" t="s">
        <v>117</v>
      </c>
      <c r="J13" s="103"/>
      <c r="K13" s="103"/>
      <c r="L13" s="103"/>
      <c r="M13" s="142"/>
      <c r="N13" s="67"/>
    </row>
    <row r="14" spans="2:14" ht="18.75" customHeight="1" x14ac:dyDescent="0.3">
      <c r="B14" s="41"/>
      <c r="C14" s="44" t="s">
        <v>52</v>
      </c>
      <c r="D14" s="115" t="str">
        <f>IF(OR(D13="Établissements sanitaires avec hébergement",D13="Établissements sanitaires sans hébergement"),"Élevé",IF(OR(D13="Établissement sportif",D13="Stockage",D13="Industrie",D13="Transport"),"Réduit", "Moyen"))</f>
        <v>Moyen</v>
      </c>
      <c r="E14" s="116"/>
      <c r="F14" s="117"/>
      <c r="G14" s="43"/>
      <c r="H14" s="67"/>
      <c r="I14" s="105"/>
      <c r="J14" s="106"/>
      <c r="K14" s="106"/>
      <c r="L14" s="106"/>
      <c r="M14" s="142"/>
      <c r="N14" s="67"/>
    </row>
    <row r="15" spans="2:14" ht="18.75" customHeight="1" x14ac:dyDescent="0.3">
      <c r="B15" s="41"/>
      <c r="C15" s="44" t="s">
        <v>80</v>
      </c>
      <c r="D15" s="115" t="str">
        <f>IF(OR(D13="Établissements sanitaires avec hébergement",D13="Logement", D13="Hôtellerie et autres hébergements", D13="Locaux où il n’est pas possible pour des raisons de conservation des objets entreposés de laisser dériver sensiblement la température"),"Longs",IF(OR(D13="Restauration un repas par jour"),"Courts", "Moyens"))</f>
        <v>Longs</v>
      </c>
      <c r="E15" s="116"/>
      <c r="F15" s="117"/>
      <c r="G15" s="43"/>
      <c r="H15" s="67"/>
      <c r="I15" s="130" t="s">
        <v>118</v>
      </c>
      <c r="J15" s="130"/>
      <c r="K15" s="130"/>
      <c r="L15" s="131"/>
      <c r="M15" s="132"/>
      <c r="N15" s="67"/>
    </row>
    <row r="16" spans="2:14" ht="18.75" x14ac:dyDescent="0.3">
      <c r="B16" s="41"/>
      <c r="C16" s="44" t="s">
        <v>78</v>
      </c>
      <c r="D16" s="118">
        <v>1466</v>
      </c>
      <c r="E16" s="119"/>
      <c r="F16" s="120"/>
      <c r="G16" s="43"/>
      <c r="H16" s="67"/>
      <c r="I16" s="130"/>
      <c r="J16" s="130"/>
      <c r="K16" s="130"/>
      <c r="L16" s="131"/>
      <c r="M16" s="132"/>
      <c r="N16" s="67"/>
    </row>
    <row r="17" spans="2:14" ht="18.75" x14ac:dyDescent="0.3">
      <c r="B17" s="41"/>
      <c r="C17" s="44" t="s">
        <v>76</v>
      </c>
      <c r="D17" s="118">
        <v>1612.6</v>
      </c>
      <c r="E17" s="119"/>
      <c r="F17" s="120"/>
      <c r="G17" s="43"/>
      <c r="H17" s="67"/>
      <c r="I17" s="67"/>
      <c r="J17" s="67"/>
      <c r="K17" s="67"/>
      <c r="L17" s="67"/>
      <c r="M17" s="67"/>
      <c r="N17" s="67"/>
    </row>
    <row r="18" spans="2:14" ht="18.75" x14ac:dyDescent="0.3">
      <c r="B18" s="41"/>
      <c r="C18" s="44"/>
      <c r="D18" s="95"/>
      <c r="E18" s="95"/>
      <c r="F18" s="95"/>
      <c r="G18" s="43"/>
      <c r="H18" s="67"/>
      <c r="I18" s="67"/>
      <c r="J18" s="67"/>
      <c r="K18" s="67"/>
      <c r="L18" s="67"/>
      <c r="M18" s="67"/>
      <c r="N18" s="67"/>
    </row>
    <row r="19" spans="2:14" ht="15" customHeight="1" x14ac:dyDescent="0.3">
      <c r="B19" s="41"/>
      <c r="C19" s="44"/>
      <c r="D19" s="95" t="s">
        <v>111</v>
      </c>
      <c r="E19" s="95"/>
      <c r="F19" s="95"/>
      <c r="G19" s="43"/>
      <c r="H19" s="67"/>
      <c r="I19" s="67"/>
      <c r="J19" s="67"/>
      <c r="K19" s="67"/>
      <c r="L19" s="67"/>
      <c r="M19" s="67"/>
      <c r="N19" s="67"/>
    </row>
    <row r="20" spans="2:14" ht="18.75" customHeight="1" x14ac:dyDescent="0.3">
      <c r="B20" s="157" t="s">
        <v>110</v>
      </c>
      <c r="C20" s="86" t="s">
        <v>130</v>
      </c>
      <c r="D20" s="161">
        <v>2.2810000000000001</v>
      </c>
      <c r="E20" s="161"/>
      <c r="F20" s="162"/>
      <c r="G20" s="48"/>
      <c r="H20" s="67"/>
      <c r="I20" s="67"/>
      <c r="J20" s="67"/>
      <c r="K20" s="67"/>
      <c r="L20" s="67"/>
      <c r="M20" s="67"/>
      <c r="N20" s="67"/>
    </row>
    <row r="21" spans="2:14" ht="18.75" customHeight="1" x14ac:dyDescent="0.3">
      <c r="B21" s="158"/>
      <c r="C21" s="85"/>
      <c r="D21" s="163" t="s">
        <v>134</v>
      </c>
      <c r="E21" s="163"/>
      <c r="F21" s="163"/>
      <c r="G21" s="48"/>
      <c r="H21" s="67"/>
      <c r="I21" s="67"/>
      <c r="J21" s="67"/>
      <c r="K21" s="67"/>
      <c r="L21" s="67"/>
      <c r="M21" s="67"/>
      <c r="N21" s="67"/>
    </row>
    <row r="22" spans="2:14" ht="18.75" customHeight="1" x14ac:dyDescent="0.3">
      <c r="B22" s="158"/>
      <c r="C22" s="86" t="s">
        <v>133</v>
      </c>
      <c r="D22" s="164">
        <v>1</v>
      </c>
      <c r="E22" s="161"/>
      <c r="F22" s="162"/>
      <c r="G22" s="48"/>
      <c r="H22" s="67"/>
      <c r="I22" s="67"/>
      <c r="J22" s="67"/>
      <c r="K22" s="67"/>
      <c r="L22" s="67"/>
      <c r="M22" s="67"/>
      <c r="N22" s="67"/>
    </row>
    <row r="23" spans="2:14" ht="18.75" customHeight="1" x14ac:dyDescent="0.3">
      <c r="B23" s="159"/>
      <c r="C23" s="66"/>
      <c r="D23" s="95" t="s">
        <v>105</v>
      </c>
      <c r="E23" s="95"/>
      <c r="F23" s="95"/>
      <c r="G23" s="49"/>
      <c r="H23" s="67"/>
      <c r="I23" s="67"/>
      <c r="J23" s="67"/>
      <c r="K23" s="67"/>
      <c r="L23" s="67"/>
      <c r="M23" s="67"/>
      <c r="N23" s="67"/>
    </row>
    <row r="24" spans="2:14" ht="18.75" customHeight="1" x14ac:dyDescent="0.3">
      <c r="B24" s="160"/>
      <c r="C24" s="86" t="s">
        <v>106</v>
      </c>
      <c r="D24" s="161">
        <v>273.89999999999998</v>
      </c>
      <c r="E24" s="161"/>
      <c r="F24" s="162"/>
      <c r="G24" s="43"/>
      <c r="H24" s="67"/>
      <c r="I24" s="67"/>
      <c r="J24" s="67"/>
      <c r="K24" s="67"/>
      <c r="L24" s="67"/>
      <c r="M24" s="67"/>
      <c r="N24" s="67"/>
    </row>
    <row r="25" spans="2:14" ht="18.75" customHeight="1" thickBot="1" x14ac:dyDescent="0.35">
      <c r="B25" s="50"/>
      <c r="C25" s="51"/>
      <c r="D25" s="92"/>
      <c r="E25" s="92"/>
      <c r="F25" s="92"/>
      <c r="G25" s="52"/>
      <c r="H25" s="67"/>
      <c r="I25" s="67"/>
      <c r="J25" s="67"/>
      <c r="K25" s="67"/>
      <c r="L25" s="67"/>
      <c r="M25" s="67"/>
      <c r="N25" s="67"/>
    </row>
    <row r="26" spans="2:14" ht="18.75" customHeight="1" x14ac:dyDescent="0.3">
      <c r="B26" s="39" t="s">
        <v>104</v>
      </c>
      <c r="C26" s="53"/>
      <c r="D26" s="93"/>
      <c r="E26" s="93"/>
      <c r="F26" s="93"/>
      <c r="G26" s="40"/>
      <c r="H26" s="67"/>
      <c r="I26" s="67"/>
      <c r="J26" s="67"/>
      <c r="K26" s="67"/>
      <c r="L26" s="67"/>
      <c r="M26" s="67"/>
      <c r="N26" s="67"/>
    </row>
    <row r="27" spans="2:14" ht="18.75" customHeight="1" x14ac:dyDescent="0.3">
      <c r="B27" s="41"/>
      <c r="C27" s="42"/>
      <c r="D27" s="100"/>
      <c r="E27" s="100"/>
      <c r="F27" s="100"/>
      <c r="G27" s="43"/>
      <c r="H27" s="67"/>
      <c r="I27" s="67"/>
      <c r="J27" s="67"/>
      <c r="K27" s="67"/>
      <c r="L27" s="67"/>
      <c r="M27" s="67"/>
      <c r="N27" s="67"/>
    </row>
    <row r="28" spans="2:14" ht="18.75" customHeight="1" x14ac:dyDescent="0.3">
      <c r="B28" s="41"/>
      <c r="C28" s="66" t="s">
        <v>129</v>
      </c>
      <c r="D28" s="96">
        <v>120</v>
      </c>
      <c r="E28" s="96"/>
      <c r="F28" s="96"/>
      <c r="G28" s="43"/>
      <c r="H28" s="67"/>
      <c r="I28" s="67"/>
      <c r="J28" s="67"/>
      <c r="K28" s="67"/>
      <c r="L28" s="67"/>
      <c r="M28" s="67"/>
      <c r="N28" s="67"/>
    </row>
    <row r="29" spans="2:14" ht="42" customHeight="1" x14ac:dyDescent="0.3">
      <c r="B29" s="41"/>
      <c r="C29" s="54" t="s">
        <v>107</v>
      </c>
      <c r="D29" s="96">
        <v>790</v>
      </c>
      <c r="E29" s="96"/>
      <c r="F29" s="96"/>
      <c r="G29" s="43"/>
      <c r="H29" s="67"/>
      <c r="I29" s="67"/>
      <c r="J29" s="67"/>
      <c r="K29" s="67"/>
      <c r="L29" s="67"/>
      <c r="M29" s="67"/>
      <c r="N29" s="67"/>
    </row>
    <row r="30" spans="2:14" ht="36.75" customHeight="1" x14ac:dyDescent="0.3">
      <c r="B30" s="41"/>
      <c r="C30" s="66" t="s">
        <v>108</v>
      </c>
      <c r="D30" s="96">
        <v>390</v>
      </c>
      <c r="E30" s="96"/>
      <c r="F30" s="96"/>
      <c r="G30" s="43"/>
      <c r="H30" s="67"/>
      <c r="I30" s="67"/>
      <c r="J30" s="67"/>
      <c r="K30" s="67"/>
      <c r="L30" s="67"/>
      <c r="M30" s="67"/>
      <c r="N30" s="67"/>
    </row>
    <row r="31" spans="2:14" ht="50.25" customHeight="1" x14ac:dyDescent="0.3">
      <c r="B31" s="41"/>
      <c r="C31" s="54" t="s">
        <v>109</v>
      </c>
      <c r="D31" s="96">
        <v>12</v>
      </c>
      <c r="E31" s="96"/>
      <c r="F31" s="96"/>
      <c r="G31" s="43"/>
      <c r="H31" s="67"/>
      <c r="I31" s="67"/>
      <c r="J31" s="67"/>
      <c r="K31" s="67"/>
      <c r="L31" s="67"/>
      <c r="M31" s="67"/>
      <c r="N31" s="67"/>
    </row>
    <row r="32" spans="2:14" ht="18.75" customHeight="1" x14ac:dyDescent="0.3">
      <c r="B32" s="41"/>
      <c r="C32" s="66"/>
      <c r="D32" s="66"/>
      <c r="E32" s="66"/>
      <c r="F32" s="66"/>
      <c r="G32" s="43"/>
      <c r="H32" s="67"/>
      <c r="I32" s="67"/>
      <c r="J32" s="67"/>
      <c r="K32" s="67"/>
      <c r="L32" s="67"/>
      <c r="M32" s="67"/>
      <c r="N32" s="67"/>
    </row>
    <row r="33" spans="1:14" ht="20.25" customHeight="1" x14ac:dyDescent="0.3">
      <c r="B33" s="41"/>
      <c r="C33" s="54" t="s">
        <v>123</v>
      </c>
      <c r="D33" s="96">
        <v>0.82</v>
      </c>
      <c r="E33" s="96"/>
      <c r="F33" s="96"/>
      <c r="G33" s="43"/>
      <c r="H33" s="67"/>
      <c r="I33" s="67"/>
      <c r="J33" s="67"/>
      <c r="K33" s="67"/>
      <c r="L33" s="67"/>
      <c r="M33" s="67"/>
      <c r="N33" s="67"/>
    </row>
    <row r="34" spans="1:14" ht="18.75" customHeight="1" thickBot="1" x14ac:dyDescent="0.35">
      <c r="B34" s="50"/>
      <c r="C34" s="88"/>
      <c r="D34" s="88"/>
      <c r="E34" s="88"/>
      <c r="F34" s="88"/>
      <c r="G34" s="52"/>
      <c r="H34" s="67"/>
      <c r="I34" s="67"/>
      <c r="J34" s="67"/>
      <c r="K34" s="67"/>
      <c r="L34" s="67"/>
      <c r="M34" s="67"/>
      <c r="N34" s="67"/>
    </row>
    <row r="35" spans="1:14" ht="26.25" hidden="1" customHeight="1" x14ac:dyDescent="0.3">
      <c r="B35" s="41"/>
      <c r="C35" s="54" t="s">
        <v>114</v>
      </c>
      <c r="D35" s="97">
        <v>1E-3</v>
      </c>
      <c r="E35" s="98"/>
      <c r="F35" s="99"/>
      <c r="G35" s="43"/>
      <c r="H35" s="67"/>
      <c r="I35" s="67"/>
      <c r="J35" s="67"/>
      <c r="K35" s="67"/>
      <c r="L35" s="67"/>
      <c r="M35" s="67"/>
      <c r="N35" s="67"/>
    </row>
    <row r="36" spans="1:14" ht="18.75" hidden="1" customHeight="1" thickBot="1" x14ac:dyDescent="0.35">
      <c r="B36" s="50"/>
      <c r="C36" s="51"/>
      <c r="D36" s="71"/>
      <c r="E36" s="71"/>
      <c r="F36" s="71"/>
      <c r="G36" s="52"/>
      <c r="H36" s="67"/>
      <c r="I36" s="67"/>
      <c r="J36" s="67"/>
      <c r="K36" s="67"/>
      <c r="L36" s="67"/>
      <c r="M36" s="67"/>
      <c r="N36" s="67"/>
    </row>
    <row r="37" spans="1:14" ht="18.75" hidden="1" customHeight="1" x14ac:dyDescent="0.3">
      <c r="B37" s="45" t="s">
        <v>112</v>
      </c>
      <c r="C37" s="70"/>
      <c r="D37" s="124"/>
      <c r="E37" s="124"/>
      <c r="F37" s="124"/>
      <c r="G37" s="47"/>
      <c r="H37" s="67"/>
      <c r="I37" s="67"/>
      <c r="J37" s="67"/>
      <c r="K37" s="67"/>
      <c r="L37" s="67"/>
      <c r="M37" s="67"/>
      <c r="N37" s="67"/>
    </row>
    <row r="38" spans="1:14" ht="18.75" hidden="1" customHeight="1" x14ac:dyDescent="0.3">
      <c r="B38" s="41"/>
      <c r="C38" s="42"/>
      <c r="D38" s="125"/>
      <c r="E38" s="125"/>
      <c r="F38" s="125"/>
      <c r="G38" s="43"/>
      <c r="H38" s="67"/>
      <c r="I38" s="67"/>
      <c r="J38" s="67"/>
      <c r="K38" s="67"/>
      <c r="L38" s="67"/>
      <c r="M38" s="67"/>
      <c r="N38" s="67"/>
    </row>
    <row r="39" spans="1:14" ht="21.75" hidden="1" customHeight="1" x14ac:dyDescent="0.3">
      <c r="B39" s="41"/>
      <c r="C39" s="44" t="s">
        <v>113</v>
      </c>
      <c r="D39" s="126">
        <v>0.95</v>
      </c>
      <c r="E39" s="127"/>
      <c r="F39" s="128"/>
      <c r="G39" s="43"/>
      <c r="H39" s="67"/>
      <c r="I39" s="67"/>
      <c r="J39" s="67"/>
      <c r="K39" s="67"/>
      <c r="L39" s="67"/>
      <c r="M39" s="67"/>
      <c r="N39" s="67"/>
    </row>
    <row r="40" spans="1:14" ht="18.75" hidden="1" customHeight="1" thickBot="1" x14ac:dyDescent="0.35">
      <c r="B40" s="41"/>
      <c r="C40" s="44"/>
      <c r="D40" s="129"/>
      <c r="E40" s="129"/>
      <c r="F40" s="129"/>
      <c r="G40" s="43"/>
      <c r="H40" s="67"/>
      <c r="I40" s="67"/>
      <c r="J40" s="67"/>
      <c r="K40" s="67"/>
      <c r="L40" s="67"/>
      <c r="M40" s="67"/>
      <c r="N40" s="67"/>
    </row>
    <row r="41" spans="1:14" ht="18.75" hidden="1" customHeight="1" thickBot="1" x14ac:dyDescent="0.35">
      <c r="B41" s="73"/>
      <c r="C41" s="74"/>
      <c r="D41" s="74"/>
      <c r="E41" s="74"/>
      <c r="F41" s="74"/>
      <c r="G41" s="75"/>
      <c r="H41" s="67"/>
      <c r="I41" s="67"/>
      <c r="J41" s="67"/>
      <c r="K41" s="67"/>
      <c r="L41" s="67"/>
      <c r="M41" s="67"/>
      <c r="N41" s="67"/>
    </row>
    <row r="42" spans="1:14" ht="18.75" customHeight="1" x14ac:dyDescent="0.3">
      <c r="B42" s="55" t="s">
        <v>77</v>
      </c>
      <c r="C42" s="56"/>
      <c r="D42" s="111"/>
      <c r="E42" s="111"/>
      <c r="F42" s="111"/>
      <c r="G42" s="57"/>
      <c r="H42" s="67"/>
      <c r="I42" s="67"/>
      <c r="J42" s="67"/>
      <c r="K42" s="67"/>
      <c r="L42" s="67"/>
      <c r="M42" s="67"/>
      <c r="N42" s="67"/>
    </row>
    <row r="43" spans="1:14" ht="18.75" hidden="1" customHeight="1" x14ac:dyDescent="0.3">
      <c r="B43" s="58"/>
      <c r="C43" s="72" t="s">
        <v>126</v>
      </c>
      <c r="D43" s="112">
        <f>IF(D15="Longs",G132,IF(D15="Moyens",G133,G134))</f>
        <v>3.8618026167665729</v>
      </c>
      <c r="E43" s="113"/>
      <c r="F43" s="114"/>
      <c r="G43" s="57"/>
      <c r="H43" s="67"/>
      <c r="I43" s="67"/>
      <c r="J43" s="67"/>
      <c r="K43" s="67"/>
      <c r="L43" s="67"/>
      <c r="M43" s="67"/>
      <c r="N43" s="67"/>
    </row>
    <row r="44" spans="1:14" ht="18.75" customHeight="1" x14ac:dyDescent="0.3">
      <c r="B44" s="58"/>
      <c r="C44" s="72" t="s">
        <v>127</v>
      </c>
      <c r="D44" s="121">
        <f>IF(D102&lt;0.8, "Sous-dimensionnement : nombre de QRAD insuffisant", 1/D43)</f>
        <v>0.25894642974717452</v>
      </c>
      <c r="E44" s="122"/>
      <c r="F44" s="123"/>
      <c r="G44" s="57"/>
      <c r="H44" s="67"/>
      <c r="I44" s="67"/>
      <c r="J44" s="67"/>
      <c r="K44" s="67"/>
      <c r="L44" s="67"/>
      <c r="M44" s="67"/>
      <c r="N44" s="67"/>
    </row>
    <row r="45" spans="1:14" ht="18.75" customHeight="1" x14ac:dyDescent="0.3">
      <c r="B45" s="59"/>
      <c r="C45" s="72" t="s">
        <v>115</v>
      </c>
      <c r="D45" s="94">
        <f>IF(TYPE(Alpha_ch)=1,Cep_ch*(Alpha_ch*Ratio_emission_ch+(1-Ratio_emission_ch)),"Le Titre V ne s'applique pas, revoir le dimensionnement")</f>
        <v>70.925427107751091</v>
      </c>
      <c r="E45" s="94"/>
      <c r="F45" s="94"/>
      <c r="G45" s="57"/>
      <c r="H45" s="67"/>
      <c r="I45" s="67"/>
      <c r="J45" s="67"/>
      <c r="K45" s="67"/>
      <c r="L45" s="67"/>
      <c r="M45" s="67"/>
      <c r="N45" s="67"/>
    </row>
    <row r="46" spans="1:14" ht="18.75" customHeight="1" thickBot="1" x14ac:dyDescent="0.35">
      <c r="B46" s="60"/>
      <c r="C46" s="61"/>
      <c r="D46" s="110"/>
      <c r="E46" s="110"/>
      <c r="F46" s="110"/>
      <c r="G46" s="62"/>
      <c r="H46" s="67"/>
      <c r="I46" s="67"/>
      <c r="J46" s="67"/>
      <c r="K46" s="67"/>
      <c r="L46" s="67"/>
      <c r="M46" s="67"/>
      <c r="N46" s="67"/>
    </row>
    <row r="47" spans="1:14" ht="18.75" customHeight="1" thickBot="1" x14ac:dyDescent="0.35">
      <c r="A47" s="67"/>
      <c r="B47" s="3"/>
      <c r="C47" s="14"/>
      <c r="D47" s="14"/>
      <c r="E47" s="14"/>
      <c r="F47" s="67"/>
      <c r="G47" s="67"/>
      <c r="H47" s="67"/>
      <c r="I47" s="67"/>
      <c r="J47" s="67"/>
      <c r="K47" s="67"/>
      <c r="L47" s="67"/>
      <c r="M47" s="67"/>
      <c r="N47" s="67"/>
    </row>
    <row r="48" spans="1:14" ht="18.75" hidden="1" customHeight="1" thickBot="1" x14ac:dyDescent="0.35">
      <c r="A48" s="67"/>
      <c r="B48" s="63" t="s">
        <v>91</v>
      </c>
      <c r="C48" s="64" t="s">
        <v>80</v>
      </c>
      <c r="D48" s="64" t="s">
        <v>52</v>
      </c>
      <c r="E48" s="14"/>
      <c r="F48" s="12" t="s">
        <v>41</v>
      </c>
      <c r="G48" s="11" t="s">
        <v>45</v>
      </c>
      <c r="H48" s="67"/>
      <c r="I48" s="67"/>
      <c r="J48" s="67"/>
      <c r="K48" s="67"/>
      <c r="L48" s="67"/>
      <c r="M48" s="67"/>
      <c r="N48" s="67"/>
    </row>
    <row r="49" spans="1:14" ht="23.25" hidden="1" thickBot="1" x14ac:dyDescent="0.35">
      <c r="A49" s="67"/>
      <c r="B49" s="69" t="s">
        <v>81</v>
      </c>
      <c r="C49" s="65" t="s">
        <v>92</v>
      </c>
      <c r="D49" s="65" t="s">
        <v>93</v>
      </c>
      <c r="E49" s="14"/>
      <c r="F49" s="12" t="s">
        <v>42</v>
      </c>
      <c r="G49" s="7">
        <v>-9</v>
      </c>
      <c r="H49" s="67"/>
      <c r="I49" s="67"/>
      <c r="J49" s="67"/>
      <c r="K49" s="67"/>
      <c r="L49" s="67"/>
      <c r="M49" s="67"/>
      <c r="N49" s="67"/>
    </row>
    <row r="50" spans="1:14" ht="18.75" hidden="1" customHeight="1" x14ac:dyDescent="0.3">
      <c r="A50" s="67"/>
      <c r="B50" s="68" t="s">
        <v>94</v>
      </c>
      <c r="C50" s="89" t="s">
        <v>92</v>
      </c>
      <c r="D50" s="89" t="s">
        <v>95</v>
      </c>
      <c r="E50" s="14"/>
      <c r="F50" s="12" t="s">
        <v>43</v>
      </c>
      <c r="G50" s="7">
        <v>-6</v>
      </c>
      <c r="H50" s="67"/>
      <c r="I50" s="67"/>
      <c r="J50" s="67"/>
      <c r="K50" s="67"/>
      <c r="L50" s="67"/>
      <c r="M50" s="67"/>
      <c r="N50" s="67"/>
    </row>
    <row r="51" spans="1:14" ht="18.75" hidden="1" x14ac:dyDescent="0.3">
      <c r="A51" s="67"/>
      <c r="B51" s="68" t="s">
        <v>82</v>
      </c>
      <c r="C51" s="90"/>
      <c r="D51" s="90"/>
      <c r="E51" s="14"/>
      <c r="F51" s="12" t="s">
        <v>44</v>
      </c>
      <c r="G51" s="7">
        <v>-3</v>
      </c>
      <c r="H51" s="67"/>
      <c r="I51" s="67"/>
      <c r="J51" s="67"/>
      <c r="K51" s="67"/>
      <c r="L51" s="67"/>
      <c r="M51" s="67"/>
      <c r="N51" s="67"/>
    </row>
    <row r="52" spans="1:14" ht="57" hidden="1" thickBot="1" x14ac:dyDescent="0.35">
      <c r="A52" s="67"/>
      <c r="B52" s="69" t="s">
        <v>83</v>
      </c>
      <c r="C52" s="91"/>
      <c r="D52" s="91"/>
      <c r="E52" s="14"/>
      <c r="F52" s="67"/>
      <c r="G52" s="67"/>
      <c r="H52" s="67"/>
      <c r="I52" s="67"/>
      <c r="J52" s="67"/>
      <c r="K52" s="67"/>
      <c r="L52" s="67"/>
      <c r="M52" s="67"/>
      <c r="N52" s="67"/>
    </row>
    <row r="53" spans="1:14" ht="23.25" hidden="1" thickBot="1" x14ac:dyDescent="0.35">
      <c r="A53" s="67"/>
      <c r="B53" s="69" t="s">
        <v>96</v>
      </c>
      <c r="C53" s="65" t="s">
        <v>97</v>
      </c>
      <c r="D53" s="65" t="s">
        <v>93</v>
      </c>
      <c r="E53" s="14"/>
      <c r="F53" s="12" t="s">
        <v>46</v>
      </c>
      <c r="G53" s="12" t="s">
        <v>48</v>
      </c>
      <c r="H53" s="67"/>
      <c r="I53" s="67"/>
      <c r="J53" s="67"/>
      <c r="K53" s="67"/>
      <c r="L53" s="67"/>
      <c r="M53" s="67"/>
      <c r="N53" s="67"/>
    </row>
    <row r="54" spans="1:14" ht="45" hidden="1" x14ac:dyDescent="0.3">
      <c r="A54" s="67"/>
      <c r="B54" s="68" t="s">
        <v>84</v>
      </c>
      <c r="C54" s="89" t="s">
        <v>97</v>
      </c>
      <c r="D54" s="89" t="s">
        <v>95</v>
      </c>
      <c r="E54" s="14"/>
      <c r="F54" s="11" t="s">
        <v>47</v>
      </c>
      <c r="G54" s="7">
        <v>0</v>
      </c>
      <c r="H54" s="67"/>
      <c r="I54" s="67"/>
      <c r="J54" s="67"/>
      <c r="K54" s="67"/>
      <c r="L54" s="67"/>
      <c r="M54" s="67"/>
      <c r="N54" s="67"/>
    </row>
    <row r="55" spans="1:14" ht="18.75" hidden="1" x14ac:dyDescent="0.3">
      <c r="A55" s="67"/>
      <c r="B55" s="68" t="s">
        <v>98</v>
      </c>
      <c r="C55" s="90"/>
      <c r="D55" s="90"/>
      <c r="E55" s="14"/>
      <c r="F55" s="12" t="s">
        <v>49</v>
      </c>
      <c r="G55" s="7">
        <v>-2</v>
      </c>
      <c r="H55" s="67"/>
      <c r="I55" s="67"/>
      <c r="J55" s="67"/>
      <c r="K55" s="67"/>
      <c r="L55" s="67"/>
      <c r="M55" s="67"/>
      <c r="N55" s="67"/>
    </row>
    <row r="56" spans="1:14" ht="22.5" hidden="1" x14ac:dyDescent="0.3">
      <c r="A56" s="67"/>
      <c r="B56" s="68" t="s">
        <v>99</v>
      </c>
      <c r="C56" s="90"/>
      <c r="D56" s="90"/>
      <c r="E56" s="14"/>
      <c r="F56" s="12" t="s">
        <v>50</v>
      </c>
      <c r="G56" s="7">
        <v>-4</v>
      </c>
      <c r="H56" s="67"/>
      <c r="I56" s="67"/>
      <c r="J56" s="67"/>
      <c r="K56" s="67"/>
      <c r="L56" s="67"/>
      <c r="M56" s="67"/>
      <c r="N56" s="67"/>
    </row>
    <row r="57" spans="1:14" ht="18.75" hidden="1" x14ac:dyDescent="0.3">
      <c r="A57" s="67"/>
      <c r="B57" s="68" t="s">
        <v>85</v>
      </c>
      <c r="C57" s="90"/>
      <c r="D57" s="90"/>
      <c r="E57" s="14"/>
      <c r="F57" s="67"/>
      <c r="G57" s="67"/>
      <c r="H57" s="67"/>
      <c r="I57" s="67"/>
      <c r="J57" s="67"/>
      <c r="K57" s="67"/>
      <c r="L57" s="67"/>
      <c r="M57" s="67"/>
      <c r="N57" s="67"/>
    </row>
    <row r="58" spans="1:14" ht="75.75" hidden="1" x14ac:dyDescent="0.3">
      <c r="A58" s="67"/>
      <c r="B58" s="68" t="s">
        <v>86</v>
      </c>
      <c r="C58" s="90"/>
      <c r="D58" s="90"/>
      <c r="E58" s="14"/>
      <c r="F58" s="3" t="s">
        <v>52</v>
      </c>
      <c r="G58" s="3" t="s">
        <v>53</v>
      </c>
      <c r="H58" s="13" t="s">
        <v>54</v>
      </c>
      <c r="I58" s="13" t="s">
        <v>55</v>
      </c>
      <c r="J58" s="67"/>
      <c r="K58" s="67"/>
      <c r="L58" s="67"/>
      <c r="M58" s="67"/>
      <c r="N58" s="67"/>
    </row>
    <row r="59" spans="1:14" ht="23.25" hidden="1" thickBot="1" x14ac:dyDescent="0.35">
      <c r="A59" s="67"/>
      <c r="B59" s="69" t="s">
        <v>87</v>
      </c>
      <c r="C59" s="91"/>
      <c r="D59" s="91"/>
      <c r="E59" s="14"/>
      <c r="F59" s="3" t="s">
        <v>56</v>
      </c>
      <c r="G59" s="1">
        <v>21</v>
      </c>
      <c r="H59" s="1">
        <v>18</v>
      </c>
      <c r="I59" s="1">
        <v>7</v>
      </c>
      <c r="J59" s="67"/>
      <c r="K59" s="67"/>
      <c r="L59" s="67"/>
      <c r="M59" s="67"/>
      <c r="N59" s="67"/>
    </row>
    <row r="60" spans="1:14" ht="18.75" hidden="1" x14ac:dyDescent="0.3">
      <c r="A60" s="67"/>
      <c r="B60" s="68" t="s">
        <v>100</v>
      </c>
      <c r="C60" s="89" t="s">
        <v>97</v>
      </c>
      <c r="D60" s="89" t="s">
        <v>102</v>
      </c>
      <c r="E60" s="14"/>
      <c r="F60" s="3" t="s">
        <v>58</v>
      </c>
      <c r="G60" s="1">
        <v>19</v>
      </c>
      <c r="H60" s="1">
        <v>16</v>
      </c>
      <c r="I60" s="1">
        <v>7</v>
      </c>
      <c r="J60" s="67"/>
      <c r="K60" s="67"/>
      <c r="L60" s="67"/>
      <c r="M60" s="67"/>
      <c r="N60" s="67"/>
    </row>
    <row r="61" spans="1:14" ht="18.75" hidden="1" x14ac:dyDescent="0.3">
      <c r="A61" s="67"/>
      <c r="B61" s="68" t="s">
        <v>88</v>
      </c>
      <c r="C61" s="90"/>
      <c r="D61" s="90"/>
      <c r="E61" s="14"/>
      <c r="F61" s="3" t="s">
        <v>57</v>
      </c>
      <c r="G61" s="1">
        <v>15</v>
      </c>
      <c r="H61" s="1">
        <v>7</v>
      </c>
      <c r="I61" s="1">
        <v>7</v>
      </c>
      <c r="J61" s="67"/>
      <c r="K61" s="67"/>
      <c r="L61" s="67"/>
      <c r="M61" s="67"/>
      <c r="N61" s="67"/>
    </row>
    <row r="62" spans="1:14" ht="18.75" hidden="1" x14ac:dyDescent="0.3">
      <c r="A62" s="67"/>
      <c r="B62" s="68" t="s">
        <v>101</v>
      </c>
      <c r="C62" s="90"/>
      <c r="D62" s="90"/>
      <c r="E62" s="14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19.5" hidden="1" thickBot="1" x14ac:dyDescent="0.35">
      <c r="A63" s="67"/>
      <c r="B63" s="69" t="s">
        <v>89</v>
      </c>
      <c r="C63" s="91"/>
      <c r="D63" s="91"/>
      <c r="E63" s="14"/>
      <c r="F63" s="67"/>
      <c r="G63" s="67"/>
      <c r="H63" s="67"/>
      <c r="I63" s="67"/>
      <c r="J63" s="67"/>
      <c r="K63" s="67"/>
      <c r="L63" s="67"/>
      <c r="M63" s="67"/>
      <c r="N63" s="67"/>
    </row>
    <row r="64" spans="1:14" ht="18.75" hidden="1" customHeight="1" thickBot="1" x14ac:dyDescent="0.35">
      <c r="A64" s="67"/>
      <c r="B64" s="69" t="s">
        <v>90</v>
      </c>
      <c r="C64" s="65" t="s">
        <v>103</v>
      </c>
      <c r="D64" s="65" t="s">
        <v>95</v>
      </c>
      <c r="E64" s="14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8.75" hidden="1" customHeight="1" x14ac:dyDescent="0.3">
      <c r="A65" s="67"/>
      <c r="B65" s="3"/>
      <c r="C65" s="14"/>
      <c r="D65" s="14"/>
      <c r="E65" s="14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8.75" hidden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idden="1" x14ac:dyDescent="0.25">
      <c r="A67" s="171" t="s">
        <v>63</v>
      </c>
      <c r="B67" s="173" t="s">
        <v>64</v>
      </c>
      <c r="C67" s="22" t="s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4" hidden="1" x14ac:dyDescent="0.25">
      <c r="A68" s="172"/>
      <c r="B68" s="174"/>
      <c r="C68" s="22" t="s">
        <v>1</v>
      </c>
      <c r="D68" s="23">
        <v>0</v>
      </c>
      <c r="E68" s="24">
        <v>0.1</v>
      </c>
      <c r="F68" s="24">
        <v>0.2</v>
      </c>
      <c r="G68" s="24">
        <v>0.3</v>
      </c>
      <c r="H68" s="24">
        <v>0.4</v>
      </c>
      <c r="I68" s="24">
        <v>0.5</v>
      </c>
      <c r="J68" s="24">
        <v>0.6</v>
      </c>
      <c r="K68" s="24">
        <v>0.7</v>
      </c>
      <c r="L68" s="24">
        <v>0.8</v>
      </c>
      <c r="M68" s="24">
        <v>0.9</v>
      </c>
    </row>
    <row r="69" spans="1:14" hidden="1" x14ac:dyDescent="0.25">
      <c r="A69" s="172"/>
      <c r="B69" s="174"/>
      <c r="C69" s="22" t="s">
        <v>2</v>
      </c>
      <c r="D69" s="23">
        <v>0.1</v>
      </c>
      <c r="E69" s="24">
        <v>0.2</v>
      </c>
      <c r="F69" s="24">
        <v>0.3</v>
      </c>
      <c r="G69" s="24">
        <v>0.4</v>
      </c>
      <c r="H69" s="24">
        <v>0.5</v>
      </c>
      <c r="I69" s="24">
        <v>0.6</v>
      </c>
      <c r="J69" s="24">
        <v>0.7</v>
      </c>
      <c r="K69" s="24">
        <v>0.8</v>
      </c>
      <c r="L69" s="24">
        <v>0.9</v>
      </c>
      <c r="M69" s="24">
        <v>1</v>
      </c>
    </row>
    <row r="70" spans="1:14" hidden="1" x14ac:dyDescent="0.25">
      <c r="A70" s="172"/>
      <c r="B70" s="175"/>
      <c r="C70" s="22" t="s">
        <v>6</v>
      </c>
      <c r="D70" s="25">
        <f t="shared" ref="D70:M70" si="0">AVERAGE(D68:D69)</f>
        <v>0.05</v>
      </c>
      <c r="E70" s="25">
        <f t="shared" si="0"/>
        <v>0.15000000000000002</v>
      </c>
      <c r="F70" s="25">
        <f t="shared" si="0"/>
        <v>0.25</v>
      </c>
      <c r="G70" s="25">
        <f t="shared" si="0"/>
        <v>0.35</v>
      </c>
      <c r="H70" s="25">
        <f t="shared" si="0"/>
        <v>0.45</v>
      </c>
      <c r="I70" s="25">
        <f t="shared" si="0"/>
        <v>0.55000000000000004</v>
      </c>
      <c r="J70" s="25">
        <f t="shared" si="0"/>
        <v>0.64999999999999991</v>
      </c>
      <c r="K70" s="25">
        <f t="shared" si="0"/>
        <v>0.75</v>
      </c>
      <c r="L70" s="25">
        <f t="shared" si="0"/>
        <v>0.85000000000000009</v>
      </c>
      <c r="M70" s="25">
        <f t="shared" si="0"/>
        <v>0.95</v>
      </c>
    </row>
    <row r="71" spans="1:14" hidden="1" x14ac:dyDescent="0.25">
      <c r="A71" s="172"/>
      <c r="B71" s="144" t="s">
        <v>7</v>
      </c>
      <c r="C71" s="22" t="s">
        <v>3</v>
      </c>
      <c r="D71" s="24">
        <v>0.1</v>
      </c>
      <c r="E71" s="24">
        <v>0.25</v>
      </c>
      <c r="F71" s="24">
        <v>0.2</v>
      </c>
      <c r="G71" s="24">
        <v>0.15</v>
      </c>
      <c r="H71" s="24">
        <v>0.1</v>
      </c>
      <c r="I71" s="24">
        <v>0.1</v>
      </c>
      <c r="J71" s="24">
        <v>0.05</v>
      </c>
      <c r="K71" s="24">
        <v>2.5000000000000001E-2</v>
      </c>
      <c r="L71" s="24">
        <v>2.5000000000000001E-2</v>
      </c>
      <c r="M71" s="24">
        <v>0</v>
      </c>
    </row>
    <row r="72" spans="1:14" hidden="1" x14ac:dyDescent="0.25">
      <c r="A72" s="172"/>
      <c r="B72" s="143"/>
      <c r="C72" s="22" t="s">
        <v>4</v>
      </c>
      <c r="D72" s="24">
        <v>0.1</v>
      </c>
      <c r="E72" s="24">
        <v>0.2</v>
      </c>
      <c r="F72" s="24">
        <v>0.2</v>
      </c>
      <c r="G72" s="24">
        <v>0.15</v>
      </c>
      <c r="H72" s="24">
        <v>0.1</v>
      </c>
      <c r="I72" s="24">
        <v>7.4999999999999997E-2</v>
      </c>
      <c r="J72" s="24">
        <v>0.05</v>
      </c>
      <c r="K72" s="24">
        <v>2.5000000000000001E-2</v>
      </c>
      <c r="L72" s="24">
        <v>2.5000000000000001E-2</v>
      </c>
      <c r="M72" s="24">
        <v>7.4999999999999997E-2</v>
      </c>
    </row>
    <row r="73" spans="1:14" ht="16.5" hidden="1" customHeight="1" x14ac:dyDescent="0.25">
      <c r="A73" s="172"/>
      <c r="B73" s="143"/>
      <c r="C73" s="22" t="s">
        <v>5</v>
      </c>
      <c r="D73" s="24">
        <v>7.4999999999999997E-2</v>
      </c>
      <c r="E73" s="24">
        <v>0.2</v>
      </c>
      <c r="F73" s="24">
        <v>0.17499999999999999</v>
      </c>
      <c r="G73" s="24">
        <v>0.125</v>
      </c>
      <c r="H73" s="24">
        <v>0.1</v>
      </c>
      <c r="I73" s="24">
        <v>7.4999999999999997E-2</v>
      </c>
      <c r="J73" s="24">
        <v>0.05</v>
      </c>
      <c r="K73" s="24">
        <v>2.5000000000000001E-2</v>
      </c>
      <c r="L73" s="24">
        <v>2.5000000000000001E-2</v>
      </c>
      <c r="M73" s="24">
        <v>0.15</v>
      </c>
    </row>
    <row r="74" spans="1:14" ht="16.5" hidden="1" customHeight="1" x14ac:dyDescent="0.25">
      <c r="B74" s="2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4" hidden="1" x14ac:dyDescent="0.25">
      <c r="A75" s="169" t="s">
        <v>59</v>
      </c>
      <c r="B75" s="167" t="s">
        <v>40</v>
      </c>
      <c r="C75" s="3" t="s">
        <v>13</v>
      </c>
      <c r="D75" s="1">
        <f>D70*$D$99*10^3</f>
        <v>39.500000000000007</v>
      </c>
      <c r="E75" s="87">
        <f t="shared" ref="E75:M75" si="1">E70*$D$99*10^3</f>
        <v>118.50000000000003</v>
      </c>
      <c r="F75" s="87">
        <f t="shared" si="1"/>
        <v>197.5</v>
      </c>
      <c r="G75" s="87">
        <f t="shared" si="1"/>
        <v>276.49999999999994</v>
      </c>
      <c r="H75" s="87">
        <f t="shared" si="1"/>
        <v>355.50000000000006</v>
      </c>
      <c r="I75" s="87">
        <f t="shared" si="1"/>
        <v>434.50000000000006</v>
      </c>
      <c r="J75" s="87">
        <f t="shared" si="1"/>
        <v>513.5</v>
      </c>
      <c r="K75" s="87">
        <f t="shared" si="1"/>
        <v>592.5</v>
      </c>
      <c r="L75" s="87">
        <f t="shared" si="1"/>
        <v>671.50000000000011</v>
      </c>
      <c r="M75" s="87">
        <f t="shared" si="1"/>
        <v>750.5</v>
      </c>
    </row>
    <row r="76" spans="1:14" ht="15" hidden="1" customHeight="1" x14ac:dyDescent="0.25">
      <c r="A76" s="170"/>
      <c r="B76" s="167"/>
      <c r="C76" s="3" t="s">
        <v>15</v>
      </c>
      <c r="D76" s="4">
        <v>12</v>
      </c>
      <c r="E76" s="4">
        <v>12</v>
      </c>
      <c r="F76" s="4">
        <v>12</v>
      </c>
      <c r="G76" s="4">
        <v>12</v>
      </c>
      <c r="H76" s="4">
        <v>12</v>
      </c>
      <c r="I76" s="4">
        <v>12</v>
      </c>
      <c r="J76" s="4">
        <v>12</v>
      </c>
      <c r="K76" s="4">
        <v>12</v>
      </c>
      <c r="L76" s="4">
        <v>12</v>
      </c>
      <c r="M76" s="4">
        <v>12</v>
      </c>
    </row>
    <row r="77" spans="1:14" hidden="1" x14ac:dyDescent="0.25">
      <c r="A77" s="170"/>
      <c r="B77" s="167"/>
      <c r="C77" s="3" t="s">
        <v>14</v>
      </c>
      <c r="D77" s="1">
        <f>D76+390/D78</f>
        <v>487.60975609756099</v>
      </c>
      <c r="E77" s="87">
        <f t="shared" ref="E77:M77" si="2">E76+390/E78</f>
        <v>487.60975609756099</v>
      </c>
      <c r="F77" s="87">
        <f t="shared" si="2"/>
        <v>487.60975609756099</v>
      </c>
      <c r="G77" s="87">
        <f t="shared" si="2"/>
        <v>487.60975609756099</v>
      </c>
      <c r="H77" s="87">
        <f t="shared" si="2"/>
        <v>487.60975609756099</v>
      </c>
      <c r="I77" s="87">
        <f t="shared" si="2"/>
        <v>487.60975609756099</v>
      </c>
      <c r="J77" s="87">
        <f t="shared" si="2"/>
        <v>487.60975609756099</v>
      </c>
      <c r="K77" s="87">
        <f t="shared" si="2"/>
        <v>487.60975609756099</v>
      </c>
      <c r="L77" s="87">
        <f t="shared" si="2"/>
        <v>487.60975609756099</v>
      </c>
      <c r="M77" s="87">
        <f t="shared" si="2"/>
        <v>487.60975609756099</v>
      </c>
      <c r="N77" s="1"/>
    </row>
    <row r="78" spans="1:14" hidden="1" x14ac:dyDescent="0.25">
      <c r="A78" s="170"/>
      <c r="B78" s="167"/>
      <c r="C78" s="3" t="s">
        <v>16</v>
      </c>
      <c r="D78" s="1">
        <v>0.82</v>
      </c>
      <c r="E78" s="1">
        <v>0.82</v>
      </c>
      <c r="F78" s="1">
        <v>0.82</v>
      </c>
      <c r="G78" s="1">
        <v>0.82</v>
      </c>
      <c r="H78" s="1">
        <v>0.82</v>
      </c>
      <c r="I78" s="1">
        <v>0.82</v>
      </c>
      <c r="J78" s="1">
        <v>0.82</v>
      </c>
      <c r="K78" s="1">
        <v>0.82</v>
      </c>
      <c r="L78" s="1">
        <v>0.82</v>
      </c>
      <c r="M78" s="1">
        <v>0.82</v>
      </c>
      <c r="N78" s="1"/>
    </row>
    <row r="79" spans="1:14" hidden="1" x14ac:dyDescent="0.25">
      <c r="A79" s="170"/>
      <c r="B79" s="167"/>
      <c r="C79" s="3" t="s">
        <v>17</v>
      </c>
      <c r="D79" s="1">
        <v>0.95</v>
      </c>
      <c r="E79" s="1">
        <v>0.95</v>
      </c>
      <c r="F79" s="1">
        <v>0.95</v>
      </c>
      <c r="G79" s="1">
        <v>0.95</v>
      </c>
      <c r="H79" s="1">
        <v>0.95</v>
      </c>
      <c r="I79" s="1">
        <v>0.95</v>
      </c>
      <c r="J79" s="1">
        <v>0.95</v>
      </c>
      <c r="K79" s="1">
        <v>0.95</v>
      </c>
      <c r="L79" s="1">
        <v>0.95</v>
      </c>
      <c r="M79" s="1">
        <v>0.95</v>
      </c>
      <c r="N79" s="1"/>
    </row>
    <row r="80" spans="1:14" hidden="1" x14ac:dyDescent="0.25">
      <c r="A80" s="170"/>
      <c r="B80" s="167"/>
      <c r="C80" s="3" t="s">
        <v>8</v>
      </c>
      <c r="D80" s="1">
        <f>IF(D75&lt;=390,MIN(390,D78*(D75-D76)), 390)</f>
        <v>22.550000000000004</v>
      </c>
      <c r="E80" s="87">
        <f t="shared" ref="E80:M80" si="3">IF(E75&lt;=390,MIN(390,E78*(E75-E76)), 390)</f>
        <v>87.330000000000013</v>
      </c>
      <c r="F80" s="87">
        <f t="shared" si="3"/>
        <v>152.10999999999999</v>
      </c>
      <c r="G80" s="87">
        <f t="shared" si="3"/>
        <v>216.88999999999993</v>
      </c>
      <c r="H80" s="87">
        <f t="shared" si="3"/>
        <v>281.67</v>
      </c>
      <c r="I80" s="87">
        <f t="shared" si="3"/>
        <v>390</v>
      </c>
      <c r="J80" s="87">
        <f t="shared" si="3"/>
        <v>390</v>
      </c>
      <c r="K80" s="87">
        <f t="shared" si="3"/>
        <v>390</v>
      </c>
      <c r="L80" s="87">
        <f t="shared" si="3"/>
        <v>390</v>
      </c>
      <c r="M80" s="87">
        <f t="shared" si="3"/>
        <v>390</v>
      </c>
    </row>
    <row r="81" spans="1:14" hidden="1" x14ac:dyDescent="0.25">
      <c r="A81" s="170"/>
      <c r="B81" s="167"/>
      <c r="C81" s="3" t="s">
        <v>9</v>
      </c>
      <c r="D81" s="1">
        <f t="shared" ref="D81:M81" si="4">IF(D75&lt;=D77, 0, D75-D77)</f>
        <v>0</v>
      </c>
      <c r="E81" s="1">
        <f t="shared" si="4"/>
        <v>0</v>
      </c>
      <c r="F81" s="1">
        <f t="shared" si="4"/>
        <v>0</v>
      </c>
      <c r="G81" s="1">
        <f t="shared" si="4"/>
        <v>0</v>
      </c>
      <c r="H81" s="1">
        <f t="shared" si="4"/>
        <v>0</v>
      </c>
      <c r="I81" s="1">
        <f t="shared" si="4"/>
        <v>0</v>
      </c>
      <c r="J81" s="1">
        <f t="shared" si="4"/>
        <v>25.890243902439011</v>
      </c>
      <c r="K81" s="1">
        <f t="shared" si="4"/>
        <v>104.89024390243901</v>
      </c>
      <c r="L81" s="1">
        <f t="shared" si="4"/>
        <v>183.89024390243912</v>
      </c>
      <c r="M81" s="87">
        <f t="shared" si="4"/>
        <v>262.89024390243901</v>
      </c>
    </row>
    <row r="82" spans="1:14" hidden="1" x14ac:dyDescent="0.25">
      <c r="A82" s="170"/>
      <c r="B82" s="167"/>
      <c r="C82" s="3" t="s">
        <v>10</v>
      </c>
      <c r="D82" s="1">
        <v>7</v>
      </c>
      <c r="E82" s="1">
        <v>7</v>
      </c>
      <c r="F82" s="1">
        <v>7</v>
      </c>
      <c r="G82" s="1">
        <v>7</v>
      </c>
      <c r="H82" s="1">
        <v>7</v>
      </c>
      <c r="I82" s="1">
        <v>7</v>
      </c>
      <c r="J82" s="1">
        <v>7</v>
      </c>
      <c r="K82" s="1">
        <v>7</v>
      </c>
      <c r="L82" s="1">
        <v>7</v>
      </c>
      <c r="M82" s="1">
        <v>7</v>
      </c>
    </row>
    <row r="83" spans="1:14" hidden="1" x14ac:dyDescent="0.25">
      <c r="A83" s="170"/>
      <c r="B83" s="167"/>
      <c r="C83" s="3" t="s">
        <v>11</v>
      </c>
      <c r="D83" s="1">
        <v>3</v>
      </c>
      <c r="E83" s="1">
        <v>3</v>
      </c>
      <c r="F83" s="1">
        <v>3</v>
      </c>
      <c r="G83" s="1">
        <v>3</v>
      </c>
      <c r="H83" s="1">
        <v>3</v>
      </c>
      <c r="I83" s="1">
        <v>3</v>
      </c>
      <c r="J83" s="1">
        <v>3</v>
      </c>
      <c r="K83" s="1">
        <v>3</v>
      </c>
      <c r="L83" s="1">
        <v>3</v>
      </c>
      <c r="M83" s="1">
        <v>3</v>
      </c>
    </row>
    <row r="84" spans="1:14" s="15" customFormat="1" hidden="1" x14ac:dyDescent="0.25">
      <c r="A84" s="170"/>
      <c r="B84" s="167"/>
      <c r="C84" s="16" t="s">
        <v>12</v>
      </c>
      <c r="D84" s="17">
        <f t="shared" ref="D84:M84" si="5">MAX(0, 1/D78 - 1/D79)*D80</f>
        <v>3.7631578947368434</v>
      </c>
      <c r="E84" s="17">
        <f t="shared" si="5"/>
        <v>14.57368421052632</v>
      </c>
      <c r="F84" s="17">
        <f t="shared" si="5"/>
        <v>25.38421052631579</v>
      </c>
      <c r="G84" s="17">
        <f t="shared" si="5"/>
        <v>36.194736842105257</v>
      </c>
      <c r="H84" s="17">
        <f t="shared" si="5"/>
        <v>47.005263157894746</v>
      </c>
      <c r="I84" s="17">
        <f t="shared" si="5"/>
        <v>65.083440308087305</v>
      </c>
      <c r="J84" s="17">
        <f t="shared" si="5"/>
        <v>65.083440308087305</v>
      </c>
      <c r="K84" s="17">
        <f t="shared" si="5"/>
        <v>65.083440308087305</v>
      </c>
      <c r="L84" s="17">
        <f t="shared" si="5"/>
        <v>65.083440308087305</v>
      </c>
      <c r="M84" s="17">
        <f t="shared" si="5"/>
        <v>65.083440308087305</v>
      </c>
      <c r="N84" s="18"/>
    </row>
    <row r="85" spans="1:14" s="19" customFormat="1" hidden="1" x14ac:dyDescent="0.25">
      <c r="A85" s="170"/>
      <c r="B85" s="167"/>
      <c r="C85" s="3" t="s">
        <v>18</v>
      </c>
      <c r="D85" s="5">
        <v>1E-3</v>
      </c>
      <c r="E85" s="5">
        <v>1E-3</v>
      </c>
      <c r="F85" s="5">
        <v>1E-3</v>
      </c>
      <c r="G85" s="5">
        <v>1E-3</v>
      </c>
      <c r="H85" s="5">
        <v>1E-3</v>
      </c>
      <c r="I85" s="5">
        <v>1E-3</v>
      </c>
      <c r="J85" s="5">
        <v>1E-3</v>
      </c>
      <c r="K85" s="5">
        <v>1E-3</v>
      </c>
      <c r="L85" s="5">
        <v>1E-3</v>
      </c>
      <c r="M85" s="5">
        <v>1E-3</v>
      </c>
      <c r="N85" s="20"/>
    </row>
    <row r="86" spans="1:14" hidden="1" x14ac:dyDescent="0.25">
      <c r="A86" s="170"/>
      <c r="B86" s="167"/>
      <c r="C86" s="3" t="s">
        <v>31</v>
      </c>
      <c r="D86" s="8">
        <f t="shared" ref="D86:M86" si="6">D76+D81+D84+D80*D85</f>
        <v>15.785707894736843</v>
      </c>
      <c r="E86" s="8">
        <f t="shared" si="6"/>
        <v>26.661014210526321</v>
      </c>
      <c r="F86" s="8">
        <f t="shared" si="6"/>
        <v>37.536320526315791</v>
      </c>
      <c r="G86" s="8">
        <f t="shared" si="6"/>
        <v>48.411626842105257</v>
      </c>
      <c r="H86" s="8">
        <f t="shared" si="6"/>
        <v>59.286933157894744</v>
      </c>
      <c r="I86" s="8">
        <f t="shared" si="6"/>
        <v>77.473440308087305</v>
      </c>
      <c r="J86" s="8">
        <f t="shared" si="6"/>
        <v>103.36368421052632</v>
      </c>
      <c r="K86" s="8">
        <f t="shared" si="6"/>
        <v>182.36368421052629</v>
      </c>
      <c r="L86" s="8">
        <f t="shared" si="6"/>
        <v>261.3636842105264</v>
      </c>
      <c r="M86" s="8">
        <f t="shared" si="6"/>
        <v>340.36368421052629</v>
      </c>
    </row>
    <row r="87" spans="1:14" hidden="1" x14ac:dyDescent="0.25">
      <c r="A87" s="170"/>
      <c r="B87" s="1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1"/>
    </row>
    <row r="88" spans="1:14" hidden="1" x14ac:dyDescent="0.25">
      <c r="A88" s="170"/>
      <c r="B88" s="165" t="s">
        <v>27</v>
      </c>
      <c r="C88" s="3" t="s">
        <v>19</v>
      </c>
      <c r="D88" s="8">
        <f t="shared" ref="D88:M88" si="7">SUM(D71*D86)</f>
        <v>1.5785707894736845</v>
      </c>
      <c r="E88" s="8">
        <f t="shared" si="7"/>
        <v>6.6652535526315804</v>
      </c>
      <c r="F88" s="8">
        <f t="shared" si="7"/>
        <v>7.5072641052631583</v>
      </c>
      <c r="G88" s="8">
        <f t="shared" si="7"/>
        <v>7.261744026315788</v>
      </c>
      <c r="H88" s="8">
        <f t="shared" si="7"/>
        <v>5.9286933157894746</v>
      </c>
      <c r="I88" s="8">
        <f t="shared" si="7"/>
        <v>7.7473440308087307</v>
      </c>
      <c r="J88" s="8">
        <f t="shared" si="7"/>
        <v>5.1681842105263165</v>
      </c>
      <c r="K88" s="8">
        <f t="shared" si="7"/>
        <v>4.559092105263157</v>
      </c>
      <c r="L88" s="8">
        <f t="shared" si="7"/>
        <v>6.5340921052631602</v>
      </c>
      <c r="M88" s="8">
        <f t="shared" si="7"/>
        <v>0</v>
      </c>
      <c r="N88" s="8">
        <f>SUM(D88:M88)</f>
        <v>52.950238241335057</v>
      </c>
    </row>
    <row r="89" spans="1:14" hidden="1" x14ac:dyDescent="0.25">
      <c r="A89" s="170"/>
      <c r="B89" s="166"/>
      <c r="C89" s="3" t="s">
        <v>20</v>
      </c>
      <c r="D89" s="8">
        <f t="shared" ref="D89:M89" si="8">SUM(D72*D86)</f>
        <v>1.5785707894736845</v>
      </c>
      <c r="E89" s="8">
        <f t="shared" si="8"/>
        <v>5.3322028421052643</v>
      </c>
      <c r="F89" s="8">
        <f t="shared" si="8"/>
        <v>7.5072641052631583</v>
      </c>
      <c r="G89" s="8">
        <f t="shared" si="8"/>
        <v>7.261744026315788</v>
      </c>
      <c r="H89" s="8">
        <f t="shared" si="8"/>
        <v>5.9286933157894746</v>
      </c>
      <c r="I89" s="8">
        <f t="shared" si="8"/>
        <v>5.8105080231065473</v>
      </c>
      <c r="J89" s="8">
        <f t="shared" si="8"/>
        <v>5.1681842105263165</v>
      </c>
      <c r="K89" s="8">
        <f t="shared" si="8"/>
        <v>4.559092105263157</v>
      </c>
      <c r="L89" s="8">
        <f t="shared" si="8"/>
        <v>6.5340921052631602</v>
      </c>
      <c r="M89" s="8">
        <f t="shared" si="8"/>
        <v>25.527276315789472</v>
      </c>
      <c r="N89" s="8">
        <f>SUM(D89:M89)</f>
        <v>75.20762783889603</v>
      </c>
    </row>
    <row r="90" spans="1:14" hidden="1" x14ac:dyDescent="0.25">
      <c r="A90" s="170"/>
      <c r="B90" s="166"/>
      <c r="C90" s="3" t="s">
        <v>21</v>
      </c>
      <c r="D90" s="8">
        <f t="shared" ref="D90:M90" si="9">SUM(D73*D86)</f>
        <v>1.1839280921052633</v>
      </c>
      <c r="E90" s="8">
        <f t="shared" si="9"/>
        <v>5.3322028421052643</v>
      </c>
      <c r="F90" s="8">
        <f t="shared" si="9"/>
        <v>6.5688560921052632</v>
      </c>
      <c r="G90" s="8">
        <f t="shared" si="9"/>
        <v>6.0514533552631571</v>
      </c>
      <c r="H90" s="8">
        <f t="shared" si="9"/>
        <v>5.9286933157894746</v>
      </c>
      <c r="I90" s="8">
        <f t="shared" si="9"/>
        <v>5.8105080231065473</v>
      </c>
      <c r="J90" s="8">
        <f t="shared" si="9"/>
        <v>5.1681842105263165</v>
      </c>
      <c r="K90" s="8">
        <f t="shared" si="9"/>
        <v>4.559092105263157</v>
      </c>
      <c r="L90" s="8">
        <f t="shared" si="9"/>
        <v>6.5340921052631602</v>
      </c>
      <c r="M90" s="8">
        <f t="shared" si="9"/>
        <v>51.054552631578943</v>
      </c>
      <c r="N90" s="8">
        <f>SUM(D90:M90)</f>
        <v>98.19156277310654</v>
      </c>
    </row>
    <row r="91" spans="1:14" hidden="1" x14ac:dyDescent="0.25">
      <c r="A91" s="1"/>
      <c r="B91" s="1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1"/>
    </row>
    <row r="92" spans="1:14" hidden="1" x14ac:dyDescent="0.2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idden="1" x14ac:dyDescent="0.25">
      <c r="A93" s="171" t="s">
        <v>68</v>
      </c>
      <c r="B93" s="176" t="s">
        <v>65</v>
      </c>
      <c r="C93" s="22" t="s">
        <v>23</v>
      </c>
      <c r="D93" s="24">
        <f xml:space="preserve"> H_W_K_m²* SHON_totale</f>
        <v>3678.3406</v>
      </c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idden="1" x14ac:dyDescent="0.25">
      <c r="A94" s="172"/>
      <c r="B94" s="176"/>
      <c r="C94" s="22" t="s">
        <v>60</v>
      </c>
      <c r="D94" s="24">
        <f>IF(D14="Élevé", G59, IF(D14="Moyen", G60, IF(D14="Réduit", G61)))+2*Ratio_emission_ch</f>
        <v>21</v>
      </c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idden="1" x14ac:dyDescent="0.25">
      <c r="A95" s="172"/>
      <c r="B95" s="176"/>
      <c r="C95" s="22" t="s">
        <v>61</v>
      </c>
      <c r="D95" s="24">
        <f>IF(OR(D8="H1-a",D8="H1-b",D8="H1-c"),G49,IF(OR(D8="H2-a",D8="H2-b",D8="H2-c",D8="H2-d"),G50,IF(D8="H3",G51)))</f>
        <v>-9</v>
      </c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idden="1" x14ac:dyDescent="0.25">
      <c r="A96" s="172"/>
      <c r="B96" s="176"/>
      <c r="C96" s="22" t="s">
        <v>51</v>
      </c>
      <c r="D96" s="24">
        <f>IF(D9="Inférieure ou égale à 400m", G54, IF(D9="Entre 400m et 800m", G55, IF(D9="Supérieure à 800m", G56)))</f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idden="1" x14ac:dyDescent="0.25">
      <c r="A97" s="172"/>
      <c r="B97" s="176"/>
      <c r="C97" s="22" t="s">
        <v>62</v>
      </c>
      <c r="D97" s="24">
        <f>D95+D96</f>
        <v>-9</v>
      </c>
      <c r="H97" s="1"/>
      <c r="I97" s="1"/>
      <c r="J97" s="1"/>
      <c r="K97" s="1"/>
      <c r="L97" s="1"/>
      <c r="M97" s="1"/>
      <c r="N97" s="1"/>
    </row>
    <row r="98" spans="1:14" hidden="1" x14ac:dyDescent="0.25">
      <c r="A98" s="172"/>
      <c r="B98" s="176"/>
      <c r="C98" s="80" t="s">
        <v>24</v>
      </c>
      <c r="D98" s="81">
        <f>D93*(D94-D97)*10^-3</f>
        <v>110.350218</v>
      </c>
      <c r="H98" s="1"/>
      <c r="I98" s="1"/>
      <c r="J98" s="1"/>
      <c r="K98" s="1"/>
      <c r="L98" s="1"/>
      <c r="M98" s="1"/>
      <c r="N98" s="1"/>
    </row>
    <row r="99" spans="1:14" hidden="1" x14ac:dyDescent="0.25">
      <c r="A99" s="172"/>
      <c r="B99" s="176"/>
      <c r="C99" s="80" t="s">
        <v>25</v>
      </c>
      <c r="D99" s="80">
        <f>D29/1000</f>
        <v>0.79</v>
      </c>
      <c r="H99" s="1"/>
      <c r="I99" s="1"/>
      <c r="J99" s="1"/>
      <c r="K99" s="1"/>
      <c r="L99" s="1"/>
      <c r="M99" s="1"/>
      <c r="N99" s="1"/>
    </row>
    <row r="100" spans="1:14" hidden="1" x14ac:dyDescent="0.25">
      <c r="A100" s="172"/>
      <c r="B100" s="176"/>
      <c r="C100" s="80" t="s">
        <v>125</v>
      </c>
      <c r="D100" s="82">
        <f>D28</f>
        <v>120</v>
      </c>
      <c r="H100" s="1"/>
      <c r="I100" s="1"/>
      <c r="J100" s="1"/>
      <c r="K100" s="1"/>
      <c r="L100" s="1"/>
      <c r="M100" s="1"/>
      <c r="N100" s="1"/>
    </row>
    <row r="101" spans="1:14" hidden="1" x14ac:dyDescent="0.25">
      <c r="A101" s="172"/>
      <c r="B101" s="176"/>
      <c r="C101" s="80" t="s">
        <v>26</v>
      </c>
      <c r="D101" s="83">
        <f>D99*D100</f>
        <v>94.800000000000011</v>
      </c>
      <c r="H101" s="1"/>
      <c r="I101" s="1"/>
      <c r="J101" s="1"/>
      <c r="K101" s="1"/>
      <c r="L101" s="1"/>
      <c r="M101" s="1"/>
      <c r="N101" s="1"/>
    </row>
    <row r="102" spans="1:14" hidden="1" x14ac:dyDescent="0.25">
      <c r="A102" s="172"/>
      <c r="B102" s="176"/>
      <c r="C102" s="80" t="s">
        <v>22</v>
      </c>
      <c r="D102" s="84">
        <f>Pn_Qrad_tot/(PCCcent*Ratio_emission_ch)</f>
        <v>0.85908303325689861</v>
      </c>
      <c r="H102" s="1"/>
      <c r="I102" s="1"/>
      <c r="J102" s="1"/>
      <c r="K102" s="1"/>
      <c r="L102" s="1"/>
      <c r="M102" s="1"/>
      <c r="N102" s="1"/>
    </row>
    <row r="103" spans="1:14" hidden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30" hidden="1" x14ac:dyDescent="0.25">
      <c r="A104" s="171" t="s">
        <v>67</v>
      </c>
      <c r="B104" s="21"/>
      <c r="C104" s="28" t="s">
        <v>39</v>
      </c>
      <c r="D104" s="29">
        <f>IF($D$102&gt;=1, D70/$D$102, D70)</f>
        <v>0.05</v>
      </c>
      <c r="E104" s="29">
        <f t="shared" ref="E104:L104" si="10">IF($D$102&gt;=1, E70/$D$102, E70)</f>
        <v>0.15000000000000002</v>
      </c>
      <c r="F104" s="29">
        <f t="shared" si="10"/>
        <v>0.25</v>
      </c>
      <c r="G104" s="29">
        <f t="shared" si="10"/>
        <v>0.35</v>
      </c>
      <c r="H104" s="29">
        <f t="shared" si="10"/>
        <v>0.45</v>
      </c>
      <c r="I104" s="29">
        <f t="shared" si="10"/>
        <v>0.55000000000000004</v>
      </c>
      <c r="J104" s="29">
        <f t="shared" si="10"/>
        <v>0.64999999999999991</v>
      </c>
      <c r="K104" s="29">
        <f t="shared" si="10"/>
        <v>0.75</v>
      </c>
      <c r="L104" s="29">
        <f t="shared" si="10"/>
        <v>0.85000000000000009</v>
      </c>
      <c r="M104" s="29">
        <f>M70</f>
        <v>0.95</v>
      </c>
      <c r="N104" s="1"/>
    </row>
    <row r="105" spans="1:14" hidden="1" x14ac:dyDescent="0.25">
      <c r="A105" s="172"/>
      <c r="B105" s="176" t="s">
        <v>69</v>
      </c>
      <c r="C105" s="22" t="s">
        <v>3</v>
      </c>
      <c r="D105" s="30">
        <f>D71</f>
        <v>0.1</v>
      </c>
      <c r="E105" s="30">
        <f t="shared" ref="E105:L105" si="11">E71</f>
        <v>0.25</v>
      </c>
      <c r="F105" s="30">
        <f t="shared" si="11"/>
        <v>0.2</v>
      </c>
      <c r="G105" s="30">
        <f t="shared" si="11"/>
        <v>0.15</v>
      </c>
      <c r="H105" s="30">
        <f t="shared" si="11"/>
        <v>0.1</v>
      </c>
      <c r="I105" s="30">
        <f t="shared" si="11"/>
        <v>0.1</v>
      </c>
      <c r="J105" s="30">
        <f t="shared" si="11"/>
        <v>0.05</v>
      </c>
      <c r="K105" s="30">
        <f t="shared" si="11"/>
        <v>2.5000000000000001E-2</v>
      </c>
      <c r="L105" s="30">
        <f t="shared" si="11"/>
        <v>2.5000000000000001E-2</v>
      </c>
      <c r="M105" s="30">
        <f>M71</f>
        <v>0</v>
      </c>
      <c r="N105" s="1"/>
    </row>
    <row r="106" spans="1:14" hidden="1" x14ac:dyDescent="0.25">
      <c r="A106" s="172"/>
      <c r="B106" s="178"/>
      <c r="C106" s="22" t="s">
        <v>4</v>
      </c>
      <c r="D106" s="30">
        <v>0.1</v>
      </c>
      <c r="E106" s="30">
        <v>0.2</v>
      </c>
      <c r="F106" s="30">
        <v>0.2</v>
      </c>
      <c r="G106" s="30">
        <v>0.15</v>
      </c>
      <c r="H106" s="30">
        <v>0.1</v>
      </c>
      <c r="I106" s="30">
        <v>7.4999999999999997E-2</v>
      </c>
      <c r="J106" s="30">
        <v>0.05</v>
      </c>
      <c r="K106" s="30">
        <v>2.5000000000000001E-2</v>
      </c>
      <c r="L106" s="30">
        <v>2.5000000000000001E-2</v>
      </c>
      <c r="M106" s="30">
        <v>7.4999999999999997E-2</v>
      </c>
      <c r="N106" s="1"/>
    </row>
    <row r="107" spans="1:14" hidden="1" x14ac:dyDescent="0.25">
      <c r="A107" s="172"/>
      <c r="B107" s="178"/>
      <c r="C107" s="22" t="s">
        <v>5</v>
      </c>
      <c r="D107" s="30">
        <v>7.4999999999999997E-2</v>
      </c>
      <c r="E107" s="30">
        <v>0.2</v>
      </c>
      <c r="F107" s="30">
        <v>0.17499999999999999</v>
      </c>
      <c r="G107" s="30">
        <v>0.125</v>
      </c>
      <c r="H107" s="30">
        <v>0.1</v>
      </c>
      <c r="I107" s="30">
        <v>7.4999999999999997E-2</v>
      </c>
      <c r="J107" s="30">
        <v>0.05</v>
      </c>
      <c r="K107" s="30">
        <v>2.5000000000000001E-2</v>
      </c>
      <c r="L107" s="30">
        <v>2.5000000000000001E-2</v>
      </c>
      <c r="M107" s="30">
        <v>0.15</v>
      </c>
      <c r="N107" s="1"/>
    </row>
    <row r="108" spans="1:14" hidden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idden="1" x14ac:dyDescent="0.25">
      <c r="A109" s="171" t="s">
        <v>66</v>
      </c>
      <c r="B109" s="143" t="s">
        <v>40</v>
      </c>
      <c r="C109" s="22" t="s">
        <v>13</v>
      </c>
      <c r="D109" s="26">
        <f t="shared" ref="D109:M109" si="12">$D$99*D104*10^3</f>
        <v>39.500000000000007</v>
      </c>
      <c r="E109" s="26">
        <f t="shared" si="12"/>
        <v>118.50000000000003</v>
      </c>
      <c r="F109" s="26">
        <f t="shared" si="12"/>
        <v>197.5</v>
      </c>
      <c r="G109" s="26">
        <f t="shared" si="12"/>
        <v>276.49999999999994</v>
      </c>
      <c r="H109" s="26">
        <f t="shared" si="12"/>
        <v>355.50000000000006</v>
      </c>
      <c r="I109" s="26">
        <f t="shared" si="12"/>
        <v>434.50000000000006</v>
      </c>
      <c r="J109" s="26">
        <f t="shared" si="12"/>
        <v>513.5</v>
      </c>
      <c r="K109" s="26">
        <f>$D$99*K104*10^3</f>
        <v>592.5</v>
      </c>
      <c r="L109" s="26">
        <f t="shared" si="12"/>
        <v>671.50000000000011</v>
      </c>
      <c r="M109" s="26">
        <f t="shared" si="12"/>
        <v>750.5</v>
      </c>
      <c r="N109" s="1"/>
    </row>
    <row r="110" spans="1:14" hidden="1" x14ac:dyDescent="0.25">
      <c r="A110" s="172"/>
      <c r="B110" s="143"/>
      <c r="C110" s="22" t="s">
        <v>15</v>
      </c>
      <c r="D110" s="26">
        <v>12</v>
      </c>
      <c r="E110" s="26">
        <v>12</v>
      </c>
      <c r="F110" s="26">
        <v>12</v>
      </c>
      <c r="G110" s="26">
        <v>12</v>
      </c>
      <c r="H110" s="26">
        <v>12</v>
      </c>
      <c r="I110" s="26">
        <v>12</v>
      </c>
      <c r="J110" s="26">
        <v>12</v>
      </c>
      <c r="K110" s="26">
        <v>12</v>
      </c>
      <c r="L110" s="26">
        <v>12</v>
      </c>
      <c r="M110" s="26">
        <v>12</v>
      </c>
      <c r="N110" s="1"/>
    </row>
    <row r="111" spans="1:14" hidden="1" x14ac:dyDescent="0.25">
      <c r="A111" s="172"/>
      <c r="B111" s="143"/>
      <c r="C111" s="22" t="s">
        <v>131</v>
      </c>
      <c r="D111" s="26">
        <f>D110+390/D112</f>
        <v>487.60975609756099</v>
      </c>
      <c r="E111" s="26">
        <f t="shared" ref="E111:M111" si="13">E110+390/E112</f>
        <v>487.60975609756099</v>
      </c>
      <c r="F111" s="26">
        <f t="shared" si="13"/>
        <v>487.60975609756099</v>
      </c>
      <c r="G111" s="26">
        <f t="shared" si="13"/>
        <v>487.60975609756099</v>
      </c>
      <c r="H111" s="26">
        <f t="shared" si="13"/>
        <v>487.60975609756099</v>
      </c>
      <c r="I111" s="26">
        <f t="shared" si="13"/>
        <v>487.60975609756099</v>
      </c>
      <c r="J111" s="26">
        <f t="shared" si="13"/>
        <v>487.60975609756099</v>
      </c>
      <c r="K111" s="26">
        <f t="shared" si="13"/>
        <v>487.60975609756099</v>
      </c>
      <c r="L111" s="26">
        <f t="shared" si="13"/>
        <v>487.60975609756099</v>
      </c>
      <c r="M111" s="26">
        <f t="shared" si="13"/>
        <v>487.60975609756099</v>
      </c>
      <c r="N111" s="1"/>
    </row>
    <row r="112" spans="1:14" hidden="1" x14ac:dyDescent="0.25">
      <c r="A112" s="172"/>
      <c r="B112" s="143"/>
      <c r="C112" s="22" t="s">
        <v>16</v>
      </c>
      <c r="D112" s="27">
        <v>0.82</v>
      </c>
      <c r="E112" s="27">
        <v>0.82</v>
      </c>
      <c r="F112" s="27">
        <v>0.82</v>
      </c>
      <c r="G112" s="27">
        <v>0.82</v>
      </c>
      <c r="H112" s="27">
        <v>0.82</v>
      </c>
      <c r="I112" s="27">
        <v>0.82</v>
      </c>
      <c r="J112" s="27">
        <v>0.82</v>
      </c>
      <c r="K112" s="27">
        <v>0.82</v>
      </c>
      <c r="L112" s="27">
        <v>0.82</v>
      </c>
      <c r="M112" s="27">
        <v>0.82</v>
      </c>
      <c r="N112" s="1"/>
    </row>
    <row r="113" spans="1:14" hidden="1" x14ac:dyDescent="0.25">
      <c r="A113" s="172"/>
      <c r="B113" s="143"/>
      <c r="C113" s="22" t="s">
        <v>17</v>
      </c>
      <c r="D113" s="27">
        <v>0.95</v>
      </c>
      <c r="E113" s="27">
        <v>0.95</v>
      </c>
      <c r="F113" s="27">
        <v>0.95</v>
      </c>
      <c r="G113" s="27">
        <v>0.95</v>
      </c>
      <c r="H113" s="27">
        <v>0.95</v>
      </c>
      <c r="I113" s="27">
        <v>0.95</v>
      </c>
      <c r="J113" s="27">
        <v>0.95</v>
      </c>
      <c r="K113" s="27">
        <v>0.95</v>
      </c>
      <c r="L113" s="27">
        <v>0.95</v>
      </c>
      <c r="M113" s="27">
        <v>0.95</v>
      </c>
      <c r="N113" s="1"/>
    </row>
    <row r="114" spans="1:14" hidden="1" x14ac:dyDescent="0.25">
      <c r="A114" s="172"/>
      <c r="B114" s="143"/>
      <c r="C114" s="22" t="s">
        <v>8</v>
      </c>
      <c r="D114" s="26">
        <f>IF(D109&lt;=390,MIN(390,D112*(D109-D110)), 390)</f>
        <v>22.550000000000004</v>
      </c>
      <c r="E114" s="26">
        <f t="shared" ref="E114:M114" si="14">IF(E109&lt;=390,MIN(390,E112*(E109-E110)), 390)</f>
        <v>87.330000000000013</v>
      </c>
      <c r="F114" s="26">
        <f t="shared" si="14"/>
        <v>152.10999999999999</v>
      </c>
      <c r="G114" s="26">
        <f t="shared" si="14"/>
        <v>216.88999999999993</v>
      </c>
      <c r="H114" s="26">
        <f t="shared" si="14"/>
        <v>281.67</v>
      </c>
      <c r="I114" s="26">
        <f t="shared" si="14"/>
        <v>390</v>
      </c>
      <c r="J114" s="26">
        <f t="shared" si="14"/>
        <v>390</v>
      </c>
      <c r="K114" s="26">
        <f t="shared" si="14"/>
        <v>390</v>
      </c>
      <c r="L114" s="26">
        <f t="shared" si="14"/>
        <v>390</v>
      </c>
      <c r="M114" s="26">
        <f t="shared" si="14"/>
        <v>390</v>
      </c>
      <c r="N114" s="1"/>
    </row>
    <row r="115" spans="1:14" hidden="1" x14ac:dyDescent="0.25">
      <c r="A115" s="172"/>
      <c r="B115" s="143"/>
      <c r="C115" s="22" t="s">
        <v>9</v>
      </c>
      <c r="D115" s="26">
        <f t="shared" ref="D115:K115" si="15">IF(D109&lt;=D111, 0, D109-D111)</f>
        <v>0</v>
      </c>
      <c r="E115" s="26">
        <f t="shared" si="15"/>
        <v>0</v>
      </c>
      <c r="F115" s="26">
        <f t="shared" si="15"/>
        <v>0</v>
      </c>
      <c r="G115" s="26">
        <f t="shared" si="15"/>
        <v>0</v>
      </c>
      <c r="H115" s="26">
        <f t="shared" si="15"/>
        <v>0</v>
      </c>
      <c r="I115" s="26">
        <f t="shared" si="15"/>
        <v>0</v>
      </c>
      <c r="J115" s="26">
        <f>IF(J109&lt;=J111, 0, J109-J111)</f>
        <v>25.890243902439011</v>
      </c>
      <c r="K115" s="26">
        <f t="shared" si="15"/>
        <v>104.89024390243901</v>
      </c>
      <c r="L115" s="26">
        <f>IF(L109&lt;=L111, 0, L109-L111)</f>
        <v>183.89024390243912</v>
      </c>
      <c r="M115" s="26">
        <f>IF(M109&lt;=M111, 0, M109-M111)</f>
        <v>262.89024390243901</v>
      </c>
      <c r="N115" s="8"/>
    </row>
    <row r="116" spans="1:14" hidden="1" x14ac:dyDescent="0.25">
      <c r="A116" s="172"/>
      <c r="B116" s="143"/>
      <c r="C116" s="22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1"/>
    </row>
    <row r="117" spans="1:14" hidden="1" x14ac:dyDescent="0.25">
      <c r="A117" s="172"/>
      <c r="B117" s="143"/>
      <c r="C117" s="22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1"/>
    </row>
    <row r="118" spans="1:14" s="15" customFormat="1" hidden="1" x14ac:dyDescent="0.25">
      <c r="A118" s="172"/>
      <c r="B118" s="143"/>
      <c r="C118" s="22" t="s">
        <v>12</v>
      </c>
      <c r="D118" s="26">
        <f>(1/D112-1/D113)*D114</f>
        <v>3.7631578947368434</v>
      </c>
      <c r="E118" s="26">
        <f t="shared" ref="E118:M118" si="16">(1/E112-1/E113)*E114</f>
        <v>14.57368421052632</v>
      </c>
      <c r="F118" s="26">
        <f t="shared" si="16"/>
        <v>25.38421052631579</v>
      </c>
      <c r="G118" s="26">
        <f t="shared" si="16"/>
        <v>36.194736842105257</v>
      </c>
      <c r="H118" s="26">
        <f t="shared" si="16"/>
        <v>47.005263157894746</v>
      </c>
      <c r="I118" s="26">
        <f>(1/I112-1/I113)*I114</f>
        <v>65.083440308087305</v>
      </c>
      <c r="J118" s="26">
        <f t="shared" si="16"/>
        <v>65.083440308087305</v>
      </c>
      <c r="K118" s="26">
        <f t="shared" si="16"/>
        <v>65.083440308087305</v>
      </c>
      <c r="L118" s="26">
        <f t="shared" si="16"/>
        <v>65.083440308087305</v>
      </c>
      <c r="M118" s="26">
        <f t="shared" si="16"/>
        <v>65.083440308087305</v>
      </c>
      <c r="N118" s="31"/>
    </row>
    <row r="119" spans="1:14" s="19" customFormat="1" hidden="1" x14ac:dyDescent="0.25">
      <c r="A119" s="172"/>
      <c r="B119" s="143"/>
      <c r="C119" s="22" t="s">
        <v>70</v>
      </c>
      <c r="D119" s="37">
        <v>1E-3</v>
      </c>
      <c r="E119" s="37">
        <v>1E-3</v>
      </c>
      <c r="F119" s="37">
        <v>1E-3</v>
      </c>
      <c r="G119" s="37">
        <v>1E-3</v>
      </c>
      <c r="H119" s="37">
        <v>1E-3</v>
      </c>
      <c r="I119" s="37">
        <v>1E-3</v>
      </c>
      <c r="J119" s="37">
        <v>1E-3</v>
      </c>
      <c r="K119" s="37">
        <v>1E-3</v>
      </c>
      <c r="L119" s="37">
        <v>1E-3</v>
      </c>
      <c r="M119" s="37">
        <v>1E-3</v>
      </c>
      <c r="N119" s="36"/>
    </row>
    <row r="120" spans="1:14" hidden="1" x14ac:dyDescent="0.25">
      <c r="A120" s="172"/>
      <c r="B120" s="143"/>
      <c r="C120" s="22" t="s">
        <v>34</v>
      </c>
      <c r="D120" s="26">
        <f t="shared" ref="D120:M120" si="17">D110+D115+D118+D114*D119</f>
        <v>15.785707894736843</v>
      </c>
      <c r="E120" s="26">
        <f t="shared" si="17"/>
        <v>26.661014210526321</v>
      </c>
      <c r="F120" s="26">
        <f t="shared" si="17"/>
        <v>37.536320526315791</v>
      </c>
      <c r="G120" s="26">
        <f t="shared" si="17"/>
        <v>48.411626842105257</v>
      </c>
      <c r="H120" s="26">
        <f t="shared" si="17"/>
        <v>59.286933157894744</v>
      </c>
      <c r="I120" s="26">
        <f t="shared" si="17"/>
        <v>77.473440308087305</v>
      </c>
      <c r="J120" s="26">
        <f t="shared" si="17"/>
        <v>103.36368421052632</v>
      </c>
      <c r="K120" s="26">
        <f t="shared" si="17"/>
        <v>182.36368421052629</v>
      </c>
      <c r="L120" s="26">
        <f t="shared" si="17"/>
        <v>261.3636842105264</v>
      </c>
      <c r="M120" s="26">
        <f t="shared" si="17"/>
        <v>340.36368421052629</v>
      </c>
      <c r="N120" s="1"/>
    </row>
    <row r="121" spans="1:14" hidden="1" x14ac:dyDescent="0.25">
      <c r="A121" s="172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"/>
    </row>
    <row r="122" spans="1:14" hidden="1" x14ac:dyDescent="0.25">
      <c r="A122" s="172"/>
      <c r="B122" s="179" t="s">
        <v>32</v>
      </c>
      <c r="C122" s="22" t="s">
        <v>28</v>
      </c>
      <c r="D122" s="26">
        <f t="shared" ref="D122:M122" si="18">D109*D105</f>
        <v>3.9500000000000011</v>
      </c>
      <c r="E122" s="26">
        <f t="shared" si="18"/>
        <v>29.625000000000007</v>
      </c>
      <c r="F122" s="26">
        <f t="shared" si="18"/>
        <v>39.5</v>
      </c>
      <c r="G122" s="26">
        <f t="shared" si="18"/>
        <v>41.474999999999987</v>
      </c>
      <c r="H122" s="26">
        <f t="shared" si="18"/>
        <v>35.550000000000004</v>
      </c>
      <c r="I122" s="26">
        <f t="shared" si="18"/>
        <v>43.45000000000001</v>
      </c>
      <c r="J122" s="26">
        <f t="shared" si="18"/>
        <v>25.675000000000001</v>
      </c>
      <c r="K122" s="26">
        <f t="shared" si="18"/>
        <v>14.8125</v>
      </c>
      <c r="L122" s="26">
        <f t="shared" si="18"/>
        <v>16.787500000000005</v>
      </c>
      <c r="M122" s="26">
        <f t="shared" si="18"/>
        <v>0</v>
      </c>
      <c r="N122" s="1"/>
    </row>
    <row r="123" spans="1:14" hidden="1" x14ac:dyDescent="0.25">
      <c r="A123" s="172"/>
      <c r="B123" s="179"/>
      <c r="C123" s="22" t="s">
        <v>29</v>
      </c>
      <c r="D123" s="26">
        <f t="shared" ref="D123:M123" si="19">D109*D106</f>
        <v>3.9500000000000011</v>
      </c>
      <c r="E123" s="26">
        <f t="shared" si="19"/>
        <v>23.700000000000006</v>
      </c>
      <c r="F123" s="26">
        <f t="shared" si="19"/>
        <v>39.5</v>
      </c>
      <c r="G123" s="26">
        <f t="shared" si="19"/>
        <v>41.474999999999987</v>
      </c>
      <c r="H123" s="26">
        <f t="shared" si="19"/>
        <v>35.550000000000004</v>
      </c>
      <c r="I123" s="26">
        <f t="shared" si="19"/>
        <v>32.587500000000006</v>
      </c>
      <c r="J123" s="26">
        <f t="shared" si="19"/>
        <v>25.675000000000001</v>
      </c>
      <c r="K123" s="26">
        <f t="shared" si="19"/>
        <v>14.8125</v>
      </c>
      <c r="L123" s="26">
        <f t="shared" si="19"/>
        <v>16.787500000000005</v>
      </c>
      <c r="M123" s="26">
        <f t="shared" si="19"/>
        <v>56.287500000000001</v>
      </c>
      <c r="N123" s="1"/>
    </row>
    <row r="124" spans="1:14" hidden="1" x14ac:dyDescent="0.25">
      <c r="A124" s="172"/>
      <c r="B124" s="179"/>
      <c r="C124" s="22" t="s">
        <v>30</v>
      </c>
      <c r="D124" s="26">
        <f t="shared" ref="D124:M124" si="20">D109*D107</f>
        <v>2.9625000000000004</v>
      </c>
      <c r="E124" s="26">
        <f t="shared" si="20"/>
        <v>23.700000000000006</v>
      </c>
      <c r="F124" s="26">
        <f t="shared" si="20"/>
        <v>34.5625</v>
      </c>
      <c r="G124" s="26">
        <f t="shared" si="20"/>
        <v>34.562499999999993</v>
      </c>
      <c r="H124" s="26">
        <f t="shared" si="20"/>
        <v>35.550000000000004</v>
      </c>
      <c r="I124" s="26">
        <f t="shared" si="20"/>
        <v>32.587500000000006</v>
      </c>
      <c r="J124" s="26">
        <f t="shared" si="20"/>
        <v>25.675000000000001</v>
      </c>
      <c r="K124" s="26">
        <f t="shared" si="20"/>
        <v>14.8125</v>
      </c>
      <c r="L124" s="26">
        <f t="shared" si="20"/>
        <v>16.787500000000005</v>
      </c>
      <c r="M124" s="26">
        <f t="shared" si="20"/>
        <v>112.575</v>
      </c>
      <c r="N124" s="1"/>
    </row>
    <row r="125" spans="1:14" hidden="1" x14ac:dyDescent="0.25">
      <c r="A125" s="172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"/>
    </row>
    <row r="126" spans="1:14" hidden="1" x14ac:dyDescent="0.25">
      <c r="A126" s="172"/>
      <c r="B126" s="179" t="s">
        <v>33</v>
      </c>
      <c r="C126" s="22" t="s">
        <v>28</v>
      </c>
      <c r="D126" s="26">
        <f t="shared" ref="D126:M126" si="21">D120*D105</f>
        <v>1.5785707894736845</v>
      </c>
      <c r="E126" s="26">
        <f t="shared" si="21"/>
        <v>6.6652535526315804</v>
      </c>
      <c r="F126" s="26">
        <f t="shared" si="21"/>
        <v>7.5072641052631583</v>
      </c>
      <c r="G126" s="26">
        <f t="shared" si="21"/>
        <v>7.261744026315788</v>
      </c>
      <c r="H126" s="26">
        <f t="shared" si="21"/>
        <v>5.9286933157894746</v>
      </c>
      <c r="I126" s="26">
        <f t="shared" si="21"/>
        <v>7.7473440308087307</v>
      </c>
      <c r="J126" s="26">
        <f t="shared" si="21"/>
        <v>5.1681842105263165</v>
      </c>
      <c r="K126" s="26">
        <f t="shared" si="21"/>
        <v>4.559092105263157</v>
      </c>
      <c r="L126" s="26">
        <f t="shared" si="21"/>
        <v>6.5340921052631602</v>
      </c>
      <c r="M126" s="26">
        <f t="shared" si="21"/>
        <v>0</v>
      </c>
      <c r="N126" s="1"/>
    </row>
    <row r="127" spans="1:14" hidden="1" x14ac:dyDescent="0.25">
      <c r="A127" s="172"/>
      <c r="B127" s="179"/>
      <c r="C127" s="22" t="s">
        <v>29</v>
      </c>
      <c r="D127" s="26">
        <f t="shared" ref="D127:M127" si="22">D120*D106</f>
        <v>1.5785707894736845</v>
      </c>
      <c r="E127" s="26">
        <f t="shared" si="22"/>
        <v>5.3322028421052643</v>
      </c>
      <c r="F127" s="26">
        <f t="shared" si="22"/>
        <v>7.5072641052631583</v>
      </c>
      <c r="G127" s="26">
        <f t="shared" si="22"/>
        <v>7.261744026315788</v>
      </c>
      <c r="H127" s="26">
        <f t="shared" si="22"/>
        <v>5.9286933157894746</v>
      </c>
      <c r="I127" s="26">
        <f t="shared" si="22"/>
        <v>5.8105080231065473</v>
      </c>
      <c r="J127" s="26">
        <f t="shared" si="22"/>
        <v>5.1681842105263165</v>
      </c>
      <c r="K127" s="26">
        <f t="shared" si="22"/>
        <v>4.559092105263157</v>
      </c>
      <c r="L127" s="26">
        <f t="shared" si="22"/>
        <v>6.5340921052631602</v>
      </c>
      <c r="M127" s="26">
        <f t="shared" si="22"/>
        <v>25.527276315789472</v>
      </c>
      <c r="N127" s="1"/>
    </row>
    <row r="128" spans="1:14" hidden="1" x14ac:dyDescent="0.25">
      <c r="A128" s="172"/>
      <c r="B128" s="179"/>
      <c r="C128" s="22" t="s">
        <v>30</v>
      </c>
      <c r="D128" s="26">
        <f t="shared" ref="D128:M128" si="23">D120*D107</f>
        <v>1.1839280921052633</v>
      </c>
      <c r="E128" s="26">
        <f t="shared" si="23"/>
        <v>5.3322028421052643</v>
      </c>
      <c r="F128" s="26">
        <f t="shared" si="23"/>
        <v>6.5688560921052632</v>
      </c>
      <c r="G128" s="26">
        <f t="shared" si="23"/>
        <v>6.0514533552631571</v>
      </c>
      <c r="H128" s="26">
        <f t="shared" si="23"/>
        <v>5.9286933157894746</v>
      </c>
      <c r="I128" s="26">
        <f t="shared" si="23"/>
        <v>5.8105080231065473</v>
      </c>
      <c r="J128" s="26">
        <f t="shared" si="23"/>
        <v>5.1681842105263165</v>
      </c>
      <c r="K128" s="26">
        <f t="shared" si="23"/>
        <v>4.559092105263157</v>
      </c>
      <c r="L128" s="26">
        <f t="shared" si="23"/>
        <v>6.5340921052631602</v>
      </c>
      <c r="M128" s="26">
        <f t="shared" si="23"/>
        <v>51.054552631578943</v>
      </c>
      <c r="N128" s="1"/>
    </row>
    <row r="129" spans="1:14" hidden="1" x14ac:dyDescent="0.25">
      <c r="A129" s="172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"/>
    </row>
    <row r="130" spans="1:14" hidden="1" x14ac:dyDescent="0.25">
      <c r="A130" s="172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"/>
    </row>
    <row r="131" spans="1:14" hidden="1" x14ac:dyDescent="0.25">
      <c r="A131" s="172"/>
      <c r="B131" s="168" t="s">
        <v>35</v>
      </c>
      <c r="C131" s="32"/>
      <c r="D131" s="33" t="s">
        <v>36</v>
      </c>
      <c r="E131" s="33" t="s">
        <v>37</v>
      </c>
      <c r="F131" s="33" t="s">
        <v>38</v>
      </c>
      <c r="G131" s="33" t="s">
        <v>128</v>
      </c>
      <c r="H131" s="33" t="s">
        <v>71</v>
      </c>
      <c r="I131" s="1"/>
      <c r="J131" s="1"/>
      <c r="K131" s="1"/>
      <c r="L131" s="1"/>
      <c r="M131" s="1"/>
      <c r="N131" s="1"/>
    </row>
    <row r="132" spans="1:14" hidden="1" x14ac:dyDescent="0.25">
      <c r="A132" s="172"/>
      <c r="B132" s="168"/>
      <c r="C132" s="32" t="s">
        <v>28</v>
      </c>
      <c r="D132" s="34">
        <f>SUM(D122:M122)</f>
        <v>250.82500000000005</v>
      </c>
      <c r="E132" s="34">
        <f>SUM(D126:M126)</f>
        <v>52.950238241335057</v>
      </c>
      <c r="F132" s="34">
        <v>12</v>
      </c>
      <c r="G132" s="35">
        <f>D132/(E132+F132)</f>
        <v>3.8618026167665729</v>
      </c>
      <c r="H132" s="33">
        <f>1/G132</f>
        <v>0.25894642974717452</v>
      </c>
      <c r="I132" s="1"/>
      <c r="J132" s="1">
        <v>0.25700000000000001</v>
      </c>
      <c r="K132" s="1"/>
      <c r="L132" s="1"/>
      <c r="M132" s="1"/>
      <c r="N132" s="1"/>
    </row>
    <row r="133" spans="1:14" hidden="1" x14ac:dyDescent="0.25">
      <c r="A133" s="172"/>
      <c r="B133" s="168"/>
      <c r="C133" s="32" t="s">
        <v>29</v>
      </c>
      <c r="D133" s="34">
        <f>SUM(D123:M123)</f>
        <v>290.32500000000005</v>
      </c>
      <c r="E133" s="34">
        <f>SUM(D127:M127)</f>
        <v>75.20762783889603</v>
      </c>
      <c r="F133" s="34">
        <v>12</v>
      </c>
      <c r="G133" s="35">
        <f t="shared" ref="G133:G134" si="24">D133/(E133+F133)</f>
        <v>3.3291239217782089</v>
      </c>
      <c r="H133" s="33">
        <f>1/G133</f>
        <v>0.3003793260618135</v>
      </c>
      <c r="I133" s="38"/>
      <c r="J133" s="1"/>
      <c r="K133" s="1"/>
      <c r="L133" s="1"/>
      <c r="M133" s="1"/>
      <c r="N133" s="1"/>
    </row>
    <row r="134" spans="1:14" hidden="1" x14ac:dyDescent="0.25">
      <c r="A134" s="172"/>
      <c r="B134" s="168"/>
      <c r="C134" s="32" t="s">
        <v>30</v>
      </c>
      <c r="D134" s="34">
        <f>SUM(D124:M124)</f>
        <v>333.77500000000003</v>
      </c>
      <c r="E134" s="34">
        <f>SUM(D128:M128)</f>
        <v>98.19156277310654</v>
      </c>
      <c r="F134" s="34">
        <v>12</v>
      </c>
      <c r="G134" s="35">
        <f t="shared" si="24"/>
        <v>3.0290431644686819</v>
      </c>
      <c r="H134" s="33">
        <f>1/G134</f>
        <v>0.33013725645451736</v>
      </c>
      <c r="I134" s="38"/>
      <c r="J134" s="1"/>
      <c r="K134" s="1"/>
      <c r="L134" s="1"/>
      <c r="M134" s="1"/>
      <c r="N134" s="1"/>
    </row>
    <row r="135" spans="1:14" hidden="1" x14ac:dyDescent="0.25">
      <c r="B135" s="9"/>
      <c r="C135" s="6"/>
    </row>
    <row r="136" spans="1:14" hidden="1" x14ac:dyDescent="0.25"/>
  </sheetData>
  <sheetProtection algorithmName="SHA-512" hashValue="cBY7suAFpOE9uB/q2Umc0w/RADWLsRLNeExTTulvgLW45HwX+5CefHuaL9sudlMhALi0RIgAefGNu1ZWEHFU/A==" saltValue="BqVd5x3IM8zO6NzlXx1Klw==" spinCount="100000" sheet="1" objects="1" scenarios="1" selectLockedCells="1"/>
  <mergeCells count="77">
    <mergeCell ref="B88:B90"/>
    <mergeCell ref="B75:B86"/>
    <mergeCell ref="B131:B134"/>
    <mergeCell ref="A75:A90"/>
    <mergeCell ref="A67:A73"/>
    <mergeCell ref="B67:B70"/>
    <mergeCell ref="A93:A102"/>
    <mergeCell ref="B93:B102"/>
    <mergeCell ref="A109:A134"/>
    <mergeCell ref="A104:A107"/>
    <mergeCell ref="B121:M121"/>
    <mergeCell ref="B125:M125"/>
    <mergeCell ref="B129:M130"/>
    <mergeCell ref="B105:B107"/>
    <mergeCell ref="B122:B124"/>
    <mergeCell ref="B126:B128"/>
    <mergeCell ref="B109:B120"/>
    <mergeCell ref="B71:B73"/>
    <mergeCell ref="B2:G2"/>
    <mergeCell ref="B3:G3"/>
    <mergeCell ref="B5:G5"/>
    <mergeCell ref="D7:F7"/>
    <mergeCell ref="B4:G4"/>
    <mergeCell ref="B20:B24"/>
    <mergeCell ref="D20:F20"/>
    <mergeCell ref="D23:F23"/>
    <mergeCell ref="D24:F24"/>
    <mergeCell ref="D21:F21"/>
    <mergeCell ref="D22:F22"/>
    <mergeCell ref="C54:C59"/>
    <mergeCell ref="D54:D59"/>
    <mergeCell ref="C60:C63"/>
    <mergeCell ref="I15:L16"/>
    <mergeCell ref="M15:M16"/>
    <mergeCell ref="D16:F16"/>
    <mergeCell ref="D6:F6"/>
    <mergeCell ref="I6:M6"/>
    <mergeCell ref="I7:L8"/>
    <mergeCell ref="M7:M8"/>
    <mergeCell ref="D8:F8"/>
    <mergeCell ref="D9:F9"/>
    <mergeCell ref="D10:F10"/>
    <mergeCell ref="D11:F11"/>
    <mergeCell ref="D12:F12"/>
    <mergeCell ref="D13:F13"/>
    <mergeCell ref="I13:L14"/>
    <mergeCell ref="M13:M14"/>
    <mergeCell ref="I9:L10"/>
    <mergeCell ref="M9:M10"/>
    <mergeCell ref="I11:L12"/>
    <mergeCell ref="M11:M12"/>
    <mergeCell ref="D46:F46"/>
    <mergeCell ref="D42:F42"/>
    <mergeCell ref="D43:F43"/>
    <mergeCell ref="D14:F14"/>
    <mergeCell ref="D15:F15"/>
    <mergeCell ref="D17:F17"/>
    <mergeCell ref="D18:F18"/>
    <mergeCell ref="D44:F44"/>
    <mergeCell ref="D37:F37"/>
    <mergeCell ref="D38:F38"/>
    <mergeCell ref="D39:F39"/>
    <mergeCell ref="D40:F40"/>
    <mergeCell ref="D31:F31"/>
    <mergeCell ref="D60:D63"/>
    <mergeCell ref="D19:F19"/>
    <mergeCell ref="D33:F33"/>
    <mergeCell ref="D35:F35"/>
    <mergeCell ref="D30:F30"/>
    <mergeCell ref="D27:F27"/>
    <mergeCell ref="D28:F28"/>
    <mergeCell ref="D29:F29"/>
    <mergeCell ref="C50:C52"/>
    <mergeCell ref="D50:D52"/>
    <mergeCell ref="D25:F25"/>
    <mergeCell ref="D26:F26"/>
    <mergeCell ref="D45:F45"/>
  </mergeCells>
  <conditionalFormatting sqref="A75:N90">
    <cfRule type="expression" dxfId="2" priority="5">
      <formula>#REF!="0 -&gt; Non"</formula>
    </cfRule>
  </conditionalFormatting>
  <conditionalFormatting sqref="D28:F30">
    <cfRule type="expression" dxfId="1" priority="4" stopIfTrue="1">
      <formula>$D$28="Valeur par défaut"</formula>
    </cfRule>
  </conditionalFormatting>
  <conditionalFormatting sqref="D31:F31 D33 D35">
    <cfRule type="expression" dxfId="0" priority="3" stopIfTrue="1">
      <formula>$D$30="Valeur par défaut"</formula>
    </cfRule>
  </conditionalFormatting>
  <dataValidations count="7">
    <dataValidation type="list" allowBlank="1" showInputMessage="1" errorTitle="Département" error="Compris entre 1 et 95" sqref="D8:F8" xr:uid="{00000000-0002-0000-0000-000001000000}">
      <formula1>"H1-a, H1-b, H1-c, H2-a, H2-b, H2-c, H2-d, H3"</formula1>
    </dataValidation>
    <dataValidation type="list" allowBlank="1" showInputMessage="1" errorTitle="Département" error="Compris entre 1 et 95" sqref="D9:F9" xr:uid="{00000000-0002-0000-0000-000002000000}">
      <formula1>"Inférieure ou égale à 400m, Entre 400m et 800m, Supérieure à 800m"</formula1>
    </dataValidation>
    <dataValidation allowBlank="1" showInputMessage="1" showErrorMessage="1" errorTitle="Département" error="Compris entre 1 et 95" sqref="D39 D43:D44" xr:uid="{00000000-0002-0000-0000-000003000000}"/>
    <dataValidation type="decimal" operator="greaterThanOrEqual" allowBlank="1" showInputMessage="1" showErrorMessage="1" sqref="D25 D10 D40" xr:uid="{00000000-0002-0000-0000-000004000000}">
      <formula1>0</formula1>
    </dataValidation>
    <dataValidation type="decimal" operator="greaterThanOrEqual" allowBlank="1" showInputMessage="1" showErrorMessage="1" errorTitle="Surfaces" error="Ne peut être nulle" sqref="D17" xr:uid="{00000000-0002-0000-0000-000005000000}">
      <formula1>1</formula1>
    </dataValidation>
    <dataValidation type="list" allowBlank="1" showInputMessage="1" showErrorMessage="1" sqref="E47:E65" xr:uid="{00000000-0002-0000-0000-000000000000}">
      <formula1>"0 -&gt; Inférieure ou égale à 400m, 1 -&gt; Entre 400m et 800m, 2 -&gt; Supérieure à 800m"</formula1>
    </dataValidation>
    <dataValidation type="list" allowBlank="1" showInputMessage="1" showErrorMessage="1" sqref="D13:F13" xr:uid="{00000000-0002-0000-0000-000006000000}">
      <formula1>$B$49:$B$64</formula1>
    </dataValidation>
  </dataValidations>
  <pageMargins left="0.7" right="0.7" top="0.75" bottom="0.75" header="0.3" footer="0.3"/>
  <pageSetup paperSize="9" orientation="portrait" r:id="rId1"/>
  <ignoredErrors>
    <ignoredError sqref="D14:D1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TV</vt:lpstr>
      <vt:lpstr>Alpha_ch</vt:lpstr>
      <vt:lpstr>Cep_ch</vt:lpstr>
      <vt:lpstr>H_W_K_m²</vt:lpstr>
      <vt:lpstr>PCCcent</vt:lpstr>
      <vt:lpstr>Pn_Qrad_tot</vt:lpstr>
      <vt:lpstr>Ratio_emission_ch</vt:lpstr>
      <vt:lpstr>SHON_totale</vt:lpstr>
    </vt:vector>
  </TitlesOfParts>
  <Company>CSTB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MOREIRA Sebastien</dc:creator>
  <cp:lastModifiedBy>JALLET Paul</cp:lastModifiedBy>
  <dcterms:created xsi:type="dcterms:W3CDTF">2018-10-03T14:24:56Z</dcterms:created>
  <dcterms:modified xsi:type="dcterms:W3CDTF">2019-06-03T11:54:57Z</dcterms:modified>
</cp:coreProperties>
</file>