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terface" sheetId="1" r:id="rId1"/>
    <sheet name="Calculs" sheetId="2" r:id="rId2"/>
  </sheets>
  <externalReferences>
    <externalReference r:id="rId5"/>
  </externalReferences>
  <definedNames>
    <definedName name="_Qw1">'[1]Calculs intermédiaires'!$C$7</definedName>
    <definedName name="_Qw2">'[1]Calculs intermédiaires'!$C$6</definedName>
    <definedName name="Eco_Sans_Solaire">'Interface'!#REF!</definedName>
    <definedName name="Energie">'Interface'!#REF!</definedName>
    <definedName name="RpnCorré">'[1]Calculs intermédiaires'!$C$8</definedName>
    <definedName name="SHON">'Interface'!$C$29</definedName>
  </definedNames>
  <calcPr fullCalcOnLoad="1"/>
</workbook>
</file>

<file path=xl/sharedStrings.xml><?xml version="1.0" encoding="utf-8"?>
<sst xmlns="http://schemas.openxmlformats.org/spreadsheetml/2006/main" count="364" uniqueCount="236">
  <si>
    <t>Caractéristiques de la ventilation</t>
  </si>
  <si>
    <t>m3/h</t>
  </si>
  <si>
    <t>-</t>
  </si>
  <si>
    <t>m²</t>
  </si>
  <si>
    <t>W/m².K</t>
  </si>
  <si>
    <t>Caractéristiques du projet</t>
  </si>
  <si>
    <t>Usage de la zone</t>
  </si>
  <si>
    <t>Usage_zone</t>
  </si>
  <si>
    <r>
      <t>Nombre d'entrées d'air des baies</t>
    </r>
    <r>
      <rPr>
        <b/>
        <u val="single"/>
        <sz val="11"/>
        <rFont val="Arial"/>
        <family val="2"/>
      </rPr>
      <t xml:space="preserve"> pariéto-dynamiques</t>
    </r>
    <r>
      <rPr>
        <b/>
        <sz val="11"/>
        <rFont val="Arial"/>
        <family val="2"/>
      </rPr>
      <t xml:space="preserve"> du groupe</t>
    </r>
  </si>
  <si>
    <t>Liste des usages (pour le calcul des débits)</t>
  </si>
  <si>
    <t>Listes</t>
  </si>
  <si>
    <t>Calculs intermédiaires</t>
  </si>
  <si>
    <t>m3/h.m²</t>
  </si>
  <si>
    <t>Cdep</t>
  </si>
  <si>
    <t>Cfres</t>
  </si>
  <si>
    <t>Perméabilité du groupe</t>
  </si>
  <si>
    <t>Surface des parois déperditives hors planchers bas</t>
  </si>
  <si>
    <t>Valeur</t>
  </si>
  <si>
    <t>Débit de l’ensemble des entrées d’air non pariéto sous 4 Pa</t>
  </si>
  <si>
    <t>Débit extrait du projet</t>
  </si>
  <si>
    <t>Type de fenêtre pariéto</t>
  </si>
  <si>
    <t>Type_fen_pariéto</t>
  </si>
  <si>
    <t>Liste des produits (pour le calcul du Eta)</t>
  </si>
  <si>
    <t>Fenêtre un vantail</t>
  </si>
  <si>
    <t>Fenêtre deux vantaux</t>
  </si>
  <si>
    <t>Porte fenetre</t>
  </si>
  <si>
    <t>Calcul des performances de la baie pariéto</t>
  </si>
  <si>
    <t>Type_fen_parieto</t>
  </si>
  <si>
    <t>Calculs des performances de la baie pariéto corrigé</t>
  </si>
  <si>
    <t>W/m²K</t>
  </si>
  <si>
    <r>
      <rPr>
        <u val="single"/>
        <sz val="11"/>
        <color indexed="8"/>
        <rFont val="Calibri"/>
        <family val="2"/>
      </rPr>
      <t>hyp</t>
    </r>
    <r>
      <rPr>
        <sz val="11"/>
        <color theme="1"/>
        <rFont val="Calibri"/>
        <family val="2"/>
      </rPr>
      <t xml:space="preserve"> : 11/12 du débit de base</t>
    </r>
  </si>
  <si>
    <t>Débit traversant la fenetre pariéto</t>
  </si>
  <si>
    <t>Débits extraits</t>
  </si>
  <si>
    <t>Débit par ouvrant pariéto-dynamique</t>
  </si>
  <si>
    <t>U,S et Tl</t>
  </si>
  <si>
    <t>U, S et Tl</t>
  </si>
  <si>
    <t>Données de sortie</t>
  </si>
  <si>
    <t xml:space="preserve">Débit de base </t>
  </si>
  <si>
    <t>Débit de pointe</t>
  </si>
  <si>
    <t>Débit en occ</t>
  </si>
  <si>
    <t>Débit en inocc</t>
  </si>
  <si>
    <t>Coefficient de transmission thermique de la baie classique</t>
  </si>
  <si>
    <t>Facteur solaire de la baie classique sans protection mobile (hiver)</t>
  </si>
  <si>
    <t>Sw_sp_hiver</t>
  </si>
  <si>
    <t xml:space="preserve">Taux de transmission lumineuse global de la baie classique </t>
  </si>
  <si>
    <t>Tl</t>
  </si>
  <si>
    <t xml:space="preserve">Débit extrait en tertiaire </t>
  </si>
  <si>
    <t>Sw_sp_hiver_corrigé</t>
  </si>
  <si>
    <t>Uw_corrigé</t>
  </si>
  <si>
    <t>U corrigé de la baie pariéto</t>
  </si>
  <si>
    <t>Sw hiver corrigé de la baie pariéto seule</t>
  </si>
  <si>
    <t>U'w</t>
  </si>
  <si>
    <t>Coefficient de transmission thermique de la baie pariéto-dynamique</t>
  </si>
  <si>
    <t>Facteur solaire de la baie pariéto-dynamique sans protection mobile (hiver)</t>
  </si>
  <si>
    <t>Taux de transmission lumineuse global de la baie pariéto-dynamique</t>
  </si>
  <si>
    <t>Tl'</t>
  </si>
  <si>
    <t>Titre V RT Existant Fenêtre pariéto-dynamique</t>
  </si>
  <si>
    <t>Fenêtre à un vantail</t>
  </si>
  <si>
    <t>Fenêtre à deux vantaux</t>
  </si>
  <si>
    <t>Porte-fenêtre à deux vantaux</t>
  </si>
  <si>
    <t xml:space="preserve">Q ouvrant </t>
  </si>
  <si>
    <t>Protection</t>
  </si>
  <si>
    <t>Coefficients ETA</t>
  </si>
  <si>
    <t>0 ≤ Q ≤ 5</t>
  </si>
  <si>
    <t>sans</t>
  </si>
  <si>
    <t>(-0,136 x Q) + 1</t>
  </si>
  <si>
    <t>(-0,140 x Q) + 1</t>
  </si>
  <si>
    <t>(-0,130 x Q) + 1</t>
  </si>
  <si>
    <t>5 &lt; Q ≤ 40</t>
  </si>
  <si>
    <r>
      <t>m</t>
    </r>
    <r>
      <rPr>
        <b/>
        <vertAlign val="subscript"/>
        <sz val="8"/>
        <color indexed="8"/>
        <rFont val="Calibri"/>
        <family val="2"/>
      </rPr>
      <t>3</t>
    </r>
  </si>
  <si>
    <r>
      <t>m</t>
    </r>
    <r>
      <rPr>
        <b/>
        <vertAlign val="subscript"/>
        <sz val="8"/>
        <color indexed="8"/>
        <rFont val="Calibri"/>
        <family val="2"/>
      </rPr>
      <t>2</t>
    </r>
  </si>
  <si>
    <r>
      <t>m</t>
    </r>
    <r>
      <rPr>
        <b/>
        <vertAlign val="subscript"/>
        <sz val="8"/>
        <color indexed="8"/>
        <rFont val="Calibri"/>
        <family val="2"/>
      </rPr>
      <t>1</t>
    </r>
  </si>
  <si>
    <t>b</t>
  </si>
  <si>
    <t>Th-E/Th-C</t>
  </si>
  <si>
    <t>Th-C</t>
  </si>
  <si>
    <t>Th-E</t>
  </si>
  <si>
    <t>Coefficients des polynômes pour ΔSw</t>
  </si>
  <si>
    <t>0,0156 x Q</t>
  </si>
  <si>
    <t>0,0165 x Q</t>
  </si>
  <si>
    <t>0,0127 x Q</t>
  </si>
  <si>
    <t>Coefficients ΔSw</t>
  </si>
  <si>
    <t>Sw été corrigé de la baie pariéto seule</t>
  </si>
  <si>
    <t>Type</t>
  </si>
  <si>
    <t>Surface (m²)</t>
  </si>
  <si>
    <t>Meagr_v_np20Pa</t>
  </si>
  <si>
    <t>0 ≤ Q ≤ 40</t>
  </si>
  <si>
    <t>0 &lt; Q ≤ 40</t>
  </si>
  <si>
    <t>avec</t>
  </si>
  <si>
    <t>Présence d'une protection mobile (oui/non) ?</t>
  </si>
  <si>
    <t>Is_PM</t>
  </si>
  <si>
    <t>Oui</t>
  </si>
  <si>
    <t>Non</t>
  </si>
  <si>
    <t>Uw ou Ujn</t>
  </si>
  <si>
    <t>Efficacité de Transfert d’Air de la baie pariéto  pour la baie sans PM</t>
  </si>
  <si>
    <t>Efficacité de Transfert d’Air de la baie pariéto  pour la baie avec PM éventuelle</t>
  </si>
  <si>
    <t xml:space="preserve">Efficacité finales de Transfert d’Air de la baie pariéto </t>
  </si>
  <si>
    <t>ΔSw1</t>
  </si>
  <si>
    <t>ΔSw2</t>
  </si>
  <si>
    <t>Débit extrait en résidentiel</t>
  </si>
  <si>
    <r>
      <rPr>
        <u val="single"/>
        <sz val="11"/>
        <color indexed="8"/>
        <rFont val="Calibri"/>
        <family val="2"/>
      </rPr>
      <t>hyp</t>
    </r>
    <r>
      <rPr>
        <sz val="11"/>
        <color theme="1"/>
        <rFont val="Calibri"/>
        <family val="2"/>
      </rPr>
      <t xml:space="preserve"> : 1/3 en occ, 2/3 en inocc (moyenne sur l'année, WE et vacances compris)</t>
    </r>
  </si>
  <si>
    <t>Débit à travers les défaut d'étanchéité</t>
  </si>
  <si>
    <t xml:space="preserve"> </t>
  </si>
  <si>
    <t>ΔSw2 s'il n'y a pas de PM</t>
  </si>
  <si>
    <t>ΔSw2 s'il y a une PM</t>
  </si>
  <si>
    <t>Correctif sur le Sw de la fenêtre classique en condition été lrosqu'il n'y a pas de protection mobile</t>
  </si>
  <si>
    <t>Correctif sur le Sw de la fenêtre classique en condition été lrosqu'il y a une protection mobile</t>
  </si>
  <si>
    <t>Correctif final sur le coefficent Sw</t>
  </si>
  <si>
    <t>Surface utile de la zone en m²</t>
  </si>
  <si>
    <t>Situation 1 : le système de ventilation du projet a été modifié par rapport à celui du bâtiment initial avant travaux</t>
  </si>
  <si>
    <t>Situation 2 : le système de ventilation est inchangé</t>
  </si>
  <si>
    <t>Az</t>
  </si>
  <si>
    <t>Type_situation</t>
  </si>
  <si>
    <t>Qva_rep_occ</t>
  </si>
  <si>
    <t>Crdb</t>
  </si>
  <si>
    <t>Smea_conv</t>
  </si>
  <si>
    <r>
      <t>Sw</t>
    </r>
    <r>
      <rPr>
        <i/>
        <sz val="11"/>
        <color indexed="8"/>
        <rFont val="Calibri"/>
        <family val="2"/>
      </rPr>
      <t>_été_corrigé</t>
    </r>
  </si>
  <si>
    <t>Facteur solaire de la baie classique avec protection mobile éventuelle (été)</t>
  </si>
  <si>
    <r>
      <t>Sw_</t>
    </r>
    <r>
      <rPr>
        <sz val="11"/>
        <rFont val="Arial"/>
        <family val="2"/>
      </rPr>
      <t>été</t>
    </r>
  </si>
  <si>
    <t>Facteur solaire de la baie pariéto-dynamique avec protection mobile éventuelle (été)</t>
  </si>
  <si>
    <t>Est-ce que le système de ventilation du bâtiment après travaux a été changé par rapport à celui du bâtiment initial?</t>
  </si>
  <si>
    <t>Qextrait_res (saisi par l'utilisateur)</t>
  </si>
  <si>
    <t>Qextrait_res (conventionnel)</t>
  </si>
  <si>
    <t>=&gt; Qextrait_res (final)</t>
  </si>
  <si>
    <t>Débit extrait en résidentiel (calculé par conventions Th-Ceex)</t>
  </si>
  <si>
    <t>Débit extrait en résidentiel (saisi par l'utilisateur)</t>
  </si>
  <si>
    <t>Débit extrait en tertiaire  (saisi par l'utilisateur)</t>
  </si>
  <si>
    <t>Débit extrait en tertiaire (calculé par conventions Th-Ceex)</t>
  </si>
  <si>
    <t>=&gt; Qextrait_tertiaire</t>
  </si>
  <si>
    <t>Qextrait_tertiaire (conventionnel)</t>
  </si>
  <si>
    <t>Qextrait_tertiaire (saisi par l'utilisateur)</t>
  </si>
  <si>
    <t>=&gt; débit repris en tertiaire</t>
  </si>
  <si>
    <t>=&gt; débit repris en résidentiel</t>
  </si>
  <si>
    <t>[En tertiaire] ventilation mécanique Simple Flux</t>
  </si>
  <si>
    <t>Type de système de ventilation (en résidentiel)</t>
  </si>
  <si>
    <t>Type_vent_res</t>
  </si>
  <si>
    <t>Type_vent_tertiaire</t>
  </si>
  <si>
    <t>Type de système de ventilation (en tertiaire)</t>
  </si>
  <si>
    <t>[En tertiaire] sans objet</t>
  </si>
  <si>
    <t>[En Résidentiel] sans objet</t>
  </si>
  <si>
    <t>[En Résidentiel] Ventilation mécanique auto réglable "après 1982"</t>
  </si>
  <si>
    <t>[En Résidentiel] Ventilation mécanique auto réglable "avant 1982"</t>
  </si>
  <si>
    <t>[En Résidentiel] Ventilation mécanique à extraction hygroréglable</t>
  </si>
  <si>
    <t>[En Résidentiel] Ventilation mécanique gaz hygroréglable</t>
  </si>
  <si>
    <t>[En Résidentiel] Ventilation mécanique à extraction et entrée d'air hygroréglables</t>
  </si>
  <si>
    <t>Bâtiment à usage d’habitation - maison individuelle et accolée</t>
  </si>
  <si>
    <t>Bâtiment à usage d’habitation - logement collectif</t>
  </si>
  <si>
    <t>Hôtellerie et autres hébergements</t>
  </si>
  <si>
    <t>Établissements sanitaires avec hébergement</t>
  </si>
  <si>
    <t>Enseignement</t>
  </si>
  <si>
    <t>Bureaux</t>
  </si>
  <si>
    <t>Salles de spectacle, de conférence</t>
  </si>
  <si>
    <t>Commerces</t>
  </si>
  <si>
    <t>Restauration plusieurs repas par jour</t>
  </si>
  <si>
    <t>Restauration un repas par jour</t>
  </si>
  <si>
    <t>Établissements sportifs</t>
  </si>
  <si>
    <t>Stockage</t>
  </si>
  <si>
    <t xml:space="preserve">Industrie </t>
  </si>
  <si>
    <t>Transport</t>
  </si>
  <si>
    <t>Locaux non compris dans une autre catégorie</t>
  </si>
  <si>
    <t>Établissements sanitaires sans hébergement</t>
  </si>
  <si>
    <t>Qva_spec_occ_conv (cf. tableau 40 de Th-Ceex)</t>
  </si>
  <si>
    <t>Usages</t>
  </si>
  <si>
    <t>Type de ventilation mécanique conventionnelle (pour calcul débit, cf. tableaux n°38 et 40 de Th-Ceex)</t>
  </si>
  <si>
    <t>Type de ventilation</t>
  </si>
  <si>
    <t>Situation du système de ventilation (cf. Th-Ceex, chapitre 9)</t>
  </si>
  <si>
    <t>=&gt; débit par les EA en résidentiel</t>
  </si>
  <si>
    <t>=&gt; débit par les EA en tertiaire</t>
  </si>
  <si>
    <t>Q4pA_conv</t>
  </si>
  <si>
    <t>=&gt; débit par la perméa en résidentiel</t>
  </si>
  <si>
    <t>=&gt; débit par la perméa en tertiaire</t>
  </si>
  <si>
    <t>Perméabilité par défaut en résidentiel</t>
  </si>
  <si>
    <t>Fenêtres sans joints et cheminée sans trappre de fermeture</t>
  </si>
  <si>
    <t>Fenêtres sans joints ou cheminée sans trappre de fermeture</t>
  </si>
  <si>
    <t>Autres cas</t>
  </si>
  <si>
    <t>Perméabilité par défaut en tertiaire</t>
  </si>
  <si>
    <t>Fenêtres étanches (à joints)</t>
  </si>
  <si>
    <t>Calcul de la perméabilité par défaut (en résidentiel)</t>
  </si>
  <si>
    <t>Calcul de la perméabilité par défaut (en tertiaire)</t>
  </si>
  <si>
    <t>Perméa_défaut_rés</t>
  </si>
  <si>
    <t>Perméa_défaut_tertiaire</t>
  </si>
  <si>
    <t>Présence d'une protection mobile? (pour le calcul du Eta en été)</t>
  </si>
  <si>
    <r>
      <t>SMEA</t>
    </r>
    <r>
      <rPr>
        <i/>
        <vertAlign val="subscript"/>
        <sz val="10"/>
        <color indexed="8"/>
        <rFont val="Verdana"/>
        <family val="2"/>
      </rPr>
      <t>4Pa</t>
    </r>
    <r>
      <rPr>
        <i/>
        <sz val="10"/>
        <color indexed="8"/>
        <rFont val="Verdana"/>
        <family val="2"/>
      </rPr>
      <t xml:space="preserve"> (saisi par l'utilisateur)</t>
    </r>
  </si>
  <si>
    <r>
      <t>SMEAnp</t>
    </r>
    <r>
      <rPr>
        <i/>
        <vertAlign val="subscript"/>
        <sz val="10"/>
        <color indexed="8"/>
        <rFont val="Verdana"/>
        <family val="2"/>
      </rPr>
      <t xml:space="preserve">4Pa </t>
    </r>
    <r>
      <rPr>
        <i/>
        <sz val="10"/>
        <color indexed="8"/>
        <rFont val="Verdana"/>
        <family val="2"/>
      </rPr>
      <t>(saisi par l'utilisateur)</t>
    </r>
  </si>
  <si>
    <t>Entrées d'air (saisies par l'utilisateur)</t>
  </si>
  <si>
    <t>Entrées d'air (calcul conventionnel)</t>
  </si>
  <si>
    <t>Ventilation spécifique en résidentiel</t>
  </si>
  <si>
    <t>Ventilation spécifique en tertiaire</t>
  </si>
  <si>
    <t>Coefficients relatifs au système de ventilation</t>
  </si>
  <si>
    <t>Pourcentage des EA pariéto-dynamiques</t>
  </si>
  <si>
    <t>Part_EA_pariéto</t>
  </si>
  <si>
    <t>%</t>
  </si>
  <si>
    <t>Débit de l’ensemble des entrées d’air non pariéto sous 4 Pa lorsque le calcul est conventionnel</t>
  </si>
  <si>
    <t>Défauts d'étanchéité</t>
  </si>
  <si>
    <t>Débit de l’ensemble des entrées d’air pariéto-dynamiques sous 4 Pa</t>
  </si>
  <si>
    <t>Débits des entrées d'air</t>
  </si>
  <si>
    <r>
      <t>=&gt; SMEA</t>
    </r>
    <r>
      <rPr>
        <i/>
        <vertAlign val="subscript"/>
        <sz val="11"/>
        <color indexed="8"/>
        <rFont val="Calibri"/>
        <family val="2"/>
      </rPr>
      <t>4Pa</t>
    </r>
    <r>
      <rPr>
        <i/>
        <sz val="11"/>
        <color indexed="8"/>
        <rFont val="Calibri"/>
        <family val="2"/>
      </rPr>
      <t xml:space="preserve"> (final)</t>
    </r>
  </si>
  <si>
    <t>Débit de l’ensemble des entrées d’air  pariéto-dynamiques sous 4 Pa</t>
  </si>
  <si>
    <r>
      <t>SMEA</t>
    </r>
    <r>
      <rPr>
        <i/>
        <vertAlign val="subscript"/>
        <sz val="10"/>
        <color indexed="8"/>
        <rFont val="Verdana"/>
        <family val="2"/>
      </rPr>
      <t>4Pa</t>
    </r>
    <r>
      <rPr>
        <i/>
        <sz val="10"/>
        <color indexed="8"/>
        <rFont val="Verdana"/>
        <family val="2"/>
      </rPr>
      <t xml:space="preserve"> (conventionnel en résidentiel)</t>
    </r>
  </si>
  <si>
    <t>[en résidentiel] Débit de l’ensemble des entrées d’air  pariéto-dynamiques sous 4 Pa lorsque le calcul est conventionnel</t>
  </si>
  <si>
    <r>
      <t>SMEA</t>
    </r>
    <r>
      <rPr>
        <i/>
        <vertAlign val="subscript"/>
        <sz val="10"/>
        <color indexed="8"/>
        <rFont val="Verdana"/>
        <family val="2"/>
      </rPr>
      <t>4Pa</t>
    </r>
    <r>
      <rPr>
        <i/>
        <sz val="10"/>
        <color indexed="8"/>
        <rFont val="Verdana"/>
        <family val="2"/>
      </rPr>
      <t xml:space="preserve"> (conventionnel en tertiaire)</t>
    </r>
  </si>
  <si>
    <t>[en tertiaire] Débit de l’ensemble des entrées d’air  pariéto-dynamiques sous 4 Pa lorsque le calcul est conventionnel</t>
  </si>
  <si>
    <r>
      <t>SMEAnp</t>
    </r>
    <r>
      <rPr>
        <i/>
        <vertAlign val="subscript"/>
        <sz val="10"/>
        <color indexed="8"/>
        <rFont val="Verdana"/>
        <family val="2"/>
      </rPr>
      <t>4Pa</t>
    </r>
    <r>
      <rPr>
        <i/>
        <sz val="10"/>
        <color indexed="8"/>
        <rFont val="Verdana"/>
        <family val="2"/>
      </rPr>
      <t xml:space="preserve"> (conventionnel en résidentiel)</t>
    </r>
  </si>
  <si>
    <r>
      <t>SMEAnp</t>
    </r>
    <r>
      <rPr>
        <i/>
        <vertAlign val="subscript"/>
        <sz val="10"/>
        <color indexed="8"/>
        <rFont val="Verdana"/>
        <family val="2"/>
      </rPr>
      <t>4Pa</t>
    </r>
    <r>
      <rPr>
        <i/>
        <sz val="10"/>
        <color indexed="8"/>
        <rFont val="Verdana"/>
        <family val="2"/>
      </rPr>
      <t xml:space="preserve"> (conventionnel en tertiaire)</t>
    </r>
  </si>
  <si>
    <r>
      <t>=&gt; SMEAnp</t>
    </r>
    <r>
      <rPr>
        <i/>
        <vertAlign val="subscript"/>
        <sz val="11"/>
        <color indexed="8"/>
        <rFont val="Calibri"/>
        <family val="2"/>
      </rPr>
      <t>4Pa</t>
    </r>
    <r>
      <rPr>
        <i/>
        <sz val="11"/>
        <color indexed="8"/>
        <rFont val="Calibri"/>
        <family val="2"/>
      </rPr>
      <t xml:space="preserve"> (final)</t>
    </r>
  </si>
  <si>
    <t>Débit de l’ensemble des entrées d’air non pariéto-dynamiques sous 4 Pa</t>
  </si>
  <si>
    <r>
      <t xml:space="preserve">Débit </t>
    </r>
    <r>
      <rPr>
        <b/>
        <u val="single"/>
        <sz val="11"/>
        <rFont val="Arial"/>
        <family val="2"/>
      </rPr>
      <t>total</t>
    </r>
    <r>
      <rPr>
        <b/>
        <sz val="11"/>
        <rFont val="Arial"/>
        <family val="2"/>
      </rPr>
      <t xml:space="preserve"> des entrées d'air des baies </t>
    </r>
    <r>
      <rPr>
        <b/>
        <u val="single"/>
        <sz val="11"/>
        <rFont val="Arial"/>
        <family val="2"/>
      </rPr>
      <t>pariéto-dynamiques</t>
    </r>
    <r>
      <rPr>
        <b/>
        <sz val="11"/>
        <rFont val="Arial"/>
        <family val="2"/>
      </rPr>
      <t xml:space="preserve"> du groupe sous 20 Pa</t>
    </r>
  </si>
  <si>
    <t>Nombre d'entrées d'air pariétodynamiques</t>
  </si>
  <si>
    <r>
      <t xml:space="preserve">Coefficients des polynômes </t>
    </r>
    <r>
      <rPr>
        <b/>
        <sz val="11"/>
        <color indexed="8"/>
        <rFont val="Calibri"/>
        <family val="2"/>
      </rPr>
      <t>pour ETA</t>
    </r>
  </si>
  <si>
    <r>
      <t xml:space="preserve">Coefficients des polynômes </t>
    </r>
    <r>
      <rPr>
        <b/>
        <sz val="11"/>
        <color indexed="8"/>
        <rFont val="Calibri"/>
        <family val="2"/>
      </rPr>
      <t>pour ΔSw</t>
    </r>
  </si>
  <si>
    <t>Débit total des entrées d’air non-pariéto sous 20 Pa</t>
  </si>
  <si>
    <t>Caractéristiques des fenêtres pariétodynamiques sans fonctionnement pariéto</t>
  </si>
  <si>
    <t>Si plusieurs types de fenêtres</t>
  </si>
  <si>
    <t>Surface d'un ouvrant pariéto</t>
  </si>
  <si>
    <t>ETA_sp</t>
  </si>
  <si>
    <t>Perte sur le Sw_sp de la fenêtre classique sans protection mobile pour le calcul du Cep</t>
  </si>
  <si>
    <t>Meagr_v_p20Pa</t>
  </si>
  <si>
    <r>
      <t>A</t>
    </r>
    <r>
      <rPr>
        <vertAlign val="subscript"/>
        <sz val="14"/>
        <color indexed="8"/>
        <rFont val="Calibri"/>
        <family val="2"/>
      </rPr>
      <t>pariéto</t>
    </r>
  </si>
  <si>
    <r>
      <t>Q4</t>
    </r>
    <r>
      <rPr>
        <vertAlign val="subscript"/>
        <sz val="14"/>
        <color indexed="8"/>
        <rFont val="Calibri"/>
        <family val="2"/>
      </rPr>
      <t>Pa-surf</t>
    </r>
  </si>
  <si>
    <r>
      <t>A</t>
    </r>
    <r>
      <rPr>
        <vertAlign val="subscript"/>
        <sz val="14"/>
        <color indexed="8"/>
        <rFont val="Calibri"/>
        <family val="2"/>
      </rPr>
      <t>Tbat</t>
    </r>
  </si>
  <si>
    <r>
      <t>Q</t>
    </r>
    <r>
      <rPr>
        <vertAlign val="subscript"/>
        <sz val="14"/>
        <color indexed="8"/>
        <rFont val="Calibri"/>
        <family val="2"/>
      </rPr>
      <t>base</t>
    </r>
  </si>
  <si>
    <r>
      <t>Q</t>
    </r>
    <r>
      <rPr>
        <vertAlign val="subscript"/>
        <sz val="14"/>
        <color indexed="8"/>
        <rFont val="Calibri"/>
        <family val="2"/>
      </rPr>
      <t>pointe</t>
    </r>
  </si>
  <si>
    <r>
      <t>Q</t>
    </r>
    <r>
      <rPr>
        <vertAlign val="subscript"/>
        <sz val="14"/>
        <color indexed="8"/>
        <rFont val="Calibri"/>
        <family val="2"/>
      </rPr>
      <t>v_occ</t>
    </r>
  </si>
  <si>
    <r>
      <t>Q</t>
    </r>
    <r>
      <rPr>
        <vertAlign val="subscript"/>
        <sz val="14"/>
        <color indexed="8"/>
        <rFont val="Calibri"/>
        <family val="2"/>
      </rPr>
      <t>v_inocc</t>
    </r>
  </si>
  <si>
    <r>
      <t>C</t>
    </r>
    <r>
      <rPr>
        <vertAlign val="subscript"/>
        <sz val="14"/>
        <color indexed="8"/>
        <rFont val="Calibri"/>
        <family val="2"/>
      </rPr>
      <t>d</t>
    </r>
  </si>
  <si>
    <r>
      <t>C</t>
    </r>
    <r>
      <rPr>
        <vertAlign val="subscript"/>
        <sz val="14"/>
        <color indexed="8"/>
        <rFont val="Calibri"/>
        <family val="2"/>
      </rPr>
      <t>fr</t>
    </r>
  </si>
  <si>
    <r>
      <t>N</t>
    </r>
    <r>
      <rPr>
        <vertAlign val="subscript"/>
        <sz val="14"/>
        <color indexed="8"/>
        <rFont val="Calibri"/>
        <family val="2"/>
      </rPr>
      <t>entrées d’air</t>
    </r>
  </si>
  <si>
    <r>
      <t>Sw’</t>
    </r>
    <r>
      <rPr>
        <vertAlign val="subscript"/>
        <sz val="14"/>
        <color indexed="8"/>
        <rFont val="Calibri"/>
        <family val="2"/>
      </rPr>
      <t>sp_hiver</t>
    </r>
  </si>
  <si>
    <r>
      <t>Sw’</t>
    </r>
    <r>
      <rPr>
        <vertAlign val="subscript"/>
        <sz val="14"/>
        <color indexed="8"/>
        <rFont val="Calibri"/>
        <family val="2"/>
      </rPr>
      <t>été</t>
    </r>
  </si>
  <si>
    <t>ETA_ap</t>
  </si>
  <si>
    <t>=&gt; ETA</t>
  </si>
  <si>
    <r>
      <t>=&gt; Q</t>
    </r>
    <r>
      <rPr>
        <b/>
        <i/>
        <vertAlign val="subscript"/>
        <sz val="11"/>
        <color indexed="8"/>
        <rFont val="Calibri"/>
        <family val="2"/>
      </rPr>
      <t>ouvrant</t>
    </r>
  </si>
  <si>
    <r>
      <t>=&gt; Q</t>
    </r>
    <r>
      <rPr>
        <i/>
        <vertAlign val="subscript"/>
        <sz val="11"/>
        <color indexed="8"/>
        <rFont val="Calibri"/>
        <family val="2"/>
      </rPr>
      <t>extrait</t>
    </r>
    <r>
      <rPr>
        <i/>
        <sz val="11"/>
        <color indexed="8"/>
        <rFont val="Calibri"/>
        <family val="2"/>
      </rPr>
      <t>=</t>
    </r>
  </si>
  <si>
    <r>
      <t>Q</t>
    </r>
    <r>
      <rPr>
        <i/>
        <vertAlign val="subscript"/>
        <sz val="11"/>
        <color indexed="8"/>
        <rFont val="Calibri"/>
        <family val="2"/>
      </rPr>
      <t>def_etanch</t>
    </r>
  </si>
  <si>
    <t>[En Résidentiel] Ventilation hybride avec EA hygroréglables</t>
  </si>
  <si>
    <t>[En Résidentiel] Ventilation hybride sans EA hygroréglables</t>
  </si>
  <si>
    <t>version 5.0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</si>
</sst>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color indexed="8"/>
      <name val="Calibri"/>
      <family val="2"/>
    </font>
    <font>
      <b/>
      <sz val="10"/>
      <name val="Arial"/>
      <family val="2"/>
    </font>
    <font>
      <b/>
      <vertAlign val="subscript"/>
      <sz val="8"/>
      <color indexed="8"/>
      <name val="Calibri"/>
      <family val="2"/>
    </font>
    <font>
      <i/>
      <sz val="10"/>
      <color indexed="8"/>
      <name val="Verdana"/>
      <family val="2"/>
    </font>
    <font>
      <i/>
      <sz val="11"/>
      <color indexed="8"/>
      <name val="Calibri"/>
      <family val="2"/>
    </font>
    <font>
      <i/>
      <vertAlign val="subscript"/>
      <sz val="10"/>
      <color indexed="8"/>
      <name val="Verdana"/>
      <family val="2"/>
    </font>
    <font>
      <i/>
      <vertAlign val="subscript"/>
      <sz val="11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4"/>
      <name val="Arial"/>
      <family val="2"/>
    </font>
    <font>
      <b/>
      <i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Times New Roman"/>
      <family val="1"/>
    </font>
    <font>
      <b/>
      <sz val="14"/>
      <color indexed="60"/>
      <name val="Arial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Times New Roman"/>
      <family val="1"/>
    </font>
    <font>
      <b/>
      <sz val="14"/>
      <color rgb="FFC00000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Verdana"/>
      <family val="2"/>
    </font>
    <font>
      <b/>
      <sz val="14"/>
      <color theme="0"/>
      <name val="Arial"/>
      <family val="2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31">
    <xf numFmtId="0" fontId="0" fillId="0" borderId="0" xfId="0" applyFont="1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55" fillId="35" borderId="0" xfId="0" applyFont="1" applyFill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6" fillId="13" borderId="0" xfId="0" applyFont="1" applyFill="1" applyBorder="1" applyAlignment="1" applyProtection="1">
      <alignment/>
      <protection/>
    </xf>
    <xf numFmtId="0" fontId="6" fillId="13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Alignment="1" quotePrefix="1">
      <alignment/>
    </xf>
    <xf numFmtId="0" fontId="5" fillId="33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59" fillId="3" borderId="12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/>
    </xf>
    <xf numFmtId="0" fontId="59" fillId="3" borderId="14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6" fillId="13" borderId="0" xfId="0" applyFont="1" applyFill="1" applyBorder="1" applyAlignment="1" applyProtection="1">
      <alignment horizontal="center"/>
      <protection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11" fillId="36" borderId="10" xfId="0" applyFont="1" applyFill="1" applyBorder="1" applyAlignment="1" applyProtection="1">
      <alignment horizontal="left" vertical="center"/>
      <protection/>
    </xf>
    <xf numFmtId="0" fontId="6" fillId="13" borderId="0" xfId="0" applyFont="1" applyFill="1" applyBorder="1" applyAlignment="1" applyProtection="1">
      <alignment horizontal="left"/>
      <protection/>
    </xf>
    <xf numFmtId="0" fontId="11" fillId="13" borderId="15" xfId="0" applyFont="1" applyFill="1" applyBorder="1" applyAlignment="1" applyProtection="1">
      <alignment horizontal="left" vertical="center" wrapText="1"/>
      <protection/>
    </xf>
    <xf numFmtId="0" fontId="11" fillId="13" borderId="16" xfId="0" applyFont="1" applyFill="1" applyBorder="1" applyAlignment="1" applyProtection="1">
      <alignment horizontal="left" vertical="center" wrapText="1"/>
      <protection/>
    </xf>
    <xf numFmtId="0" fontId="11" fillId="13" borderId="17" xfId="0" applyFont="1" applyFill="1" applyBorder="1" applyAlignment="1" applyProtection="1">
      <alignment horizontal="left" vertical="center" wrapText="1"/>
      <protection/>
    </xf>
    <xf numFmtId="0" fontId="7" fillId="34" borderId="15" xfId="0" applyFont="1" applyFill="1" applyBorder="1" applyAlignment="1" applyProtection="1">
      <alignment horizontal="left" vertical="center" wrapText="1"/>
      <protection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7" fillId="37" borderId="18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left" vertical="center" wrapText="1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7" fillId="37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left" vertical="center" wrapText="1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7" fillId="37" borderId="23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49" fontId="7" fillId="37" borderId="18" xfId="0" applyNumberFormat="1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0" fillId="38" borderId="24" xfId="0" applyFill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1" fontId="0" fillId="38" borderId="24" xfId="0" applyNumberFormat="1" applyFill="1" applyBorder="1" applyAlignment="1">
      <alignment horizontal="center" vertical="center"/>
    </xf>
    <xf numFmtId="0" fontId="61" fillId="36" borderId="22" xfId="0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0" fontId="0" fillId="38" borderId="0" xfId="0" applyFill="1" applyAlignment="1">
      <alignment horizontal="left"/>
    </xf>
    <xf numFmtId="0" fontId="0" fillId="38" borderId="0" xfId="0" applyFill="1" applyAlignment="1">
      <alignment horizontal="center"/>
    </xf>
    <xf numFmtId="0" fontId="0" fillId="38" borderId="0" xfId="0" applyFill="1" applyAlignment="1">
      <alignment horizontal="center" vertical="center"/>
    </xf>
    <xf numFmtId="0" fontId="0" fillId="38" borderId="0" xfId="0" applyFont="1" applyFill="1" applyAlignment="1">
      <alignment/>
    </xf>
    <xf numFmtId="0" fontId="58" fillId="38" borderId="0" xfId="0" applyFont="1" applyFill="1" applyAlignment="1">
      <alignment horizontal="center" vertical="center" wrapText="1"/>
    </xf>
    <xf numFmtId="0" fontId="41" fillId="38" borderId="0" xfId="0" applyFont="1" applyFill="1" applyAlignment="1">
      <alignment/>
    </xf>
    <xf numFmtId="0" fontId="0" fillId="0" borderId="24" xfId="0" applyBorder="1" applyAlignment="1">
      <alignment horizontal="center" vertical="center"/>
    </xf>
    <xf numFmtId="11" fontId="0" fillId="0" borderId="24" xfId="0" applyNumberFormat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1" fontId="0" fillId="0" borderId="24" xfId="0" applyNumberFormat="1" applyBorder="1" applyAlignment="1">
      <alignment vertical="center"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59" fillId="3" borderId="0" xfId="0" applyFont="1" applyFill="1" applyBorder="1" applyAlignment="1">
      <alignment horizontal="left" vertical="center" wrapText="1"/>
    </xf>
    <xf numFmtId="2" fontId="0" fillId="3" borderId="0" xfId="0" applyNumberForma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62" fillId="3" borderId="22" xfId="0" applyFont="1" applyFill="1" applyBorder="1" applyAlignment="1" quotePrefix="1">
      <alignment/>
    </xf>
    <xf numFmtId="0" fontId="63" fillId="3" borderId="17" xfId="0" applyFont="1" applyFill="1" applyBorder="1" applyAlignment="1" quotePrefix="1">
      <alignment horizontal="center" vertical="center" wrapText="1"/>
    </xf>
    <xf numFmtId="0" fontId="63" fillId="3" borderId="16" xfId="0" applyFont="1" applyFill="1" applyBorder="1" applyAlignment="1">
      <alignment horizontal="center" vertical="center" wrapText="1"/>
    </xf>
    <xf numFmtId="0" fontId="62" fillId="3" borderId="15" xfId="0" applyFont="1" applyFill="1" applyBorder="1" applyAlignment="1">
      <alignment/>
    </xf>
    <xf numFmtId="0" fontId="62" fillId="3" borderId="17" xfId="0" applyFont="1" applyFill="1" applyBorder="1" applyAlignment="1">
      <alignment/>
    </xf>
    <xf numFmtId="0" fontId="62" fillId="3" borderId="16" xfId="0" applyFont="1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21" xfId="0" applyFill="1" applyBorder="1" applyAlignment="1" quotePrefix="1">
      <alignment horizontal="center"/>
    </xf>
    <xf numFmtId="0" fontId="0" fillId="3" borderId="21" xfId="0" applyFill="1" applyBorder="1" applyAlignment="1">
      <alignment horizontal="center"/>
    </xf>
    <xf numFmtId="0" fontId="0" fillId="3" borderId="20" xfId="0" applyFill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3" borderId="20" xfId="0" applyFill="1" applyBorder="1" applyAlignment="1">
      <alignment horizontal="center"/>
    </xf>
    <xf numFmtId="49" fontId="7" fillId="37" borderId="29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 quotePrefix="1">
      <alignment horizontal="center" vertical="center"/>
      <protection/>
    </xf>
    <xf numFmtId="0" fontId="7" fillId="34" borderId="30" xfId="0" applyFont="1" applyFill="1" applyBorder="1" applyAlignment="1" applyProtection="1" quotePrefix="1">
      <alignment horizontal="center" vertical="center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63" fillId="3" borderId="15" xfId="0" applyFont="1" applyFill="1" applyBorder="1" applyAlignment="1">
      <alignment horizontal="center" vertical="center" wrapText="1"/>
    </xf>
    <xf numFmtId="0" fontId="63" fillId="3" borderId="17" xfId="0" applyFont="1" applyFill="1" applyBorder="1" applyAlignment="1">
      <alignment horizontal="center" vertical="center" wrapText="1"/>
    </xf>
    <xf numFmtId="2" fontId="0" fillId="3" borderId="1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62" fillId="0" borderId="0" xfId="0" applyFont="1" applyAlignment="1" quotePrefix="1">
      <alignment horizontal="center"/>
    </xf>
    <xf numFmtId="49" fontId="7" fillId="37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3" borderId="10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164" fontId="55" fillId="0" borderId="24" xfId="0" applyNumberFormat="1" applyFont="1" applyBorder="1" applyAlignment="1">
      <alignment horizontal="center"/>
    </xf>
    <xf numFmtId="0" fontId="55" fillId="39" borderId="24" xfId="0" applyFont="1" applyFill="1" applyBorder="1" applyAlignment="1">
      <alignment/>
    </xf>
    <xf numFmtId="0" fontId="0" fillId="0" borderId="31" xfId="0" applyBorder="1" applyAlignment="1">
      <alignment/>
    </xf>
    <xf numFmtId="0" fontId="55" fillId="39" borderId="27" xfId="0" applyFont="1" applyFill="1" applyBorder="1" applyAlignment="1">
      <alignment/>
    </xf>
    <xf numFmtId="164" fontId="55" fillId="0" borderId="27" xfId="0" applyNumberFormat="1" applyFont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19" xfId="0" applyBorder="1" applyAlignment="1">
      <alignment/>
    </xf>
    <xf numFmtId="0" fontId="55" fillId="39" borderId="19" xfId="0" applyFont="1" applyFill="1" applyBorder="1" applyAlignment="1">
      <alignment/>
    </xf>
    <xf numFmtId="164" fontId="55" fillId="0" borderId="28" xfId="0" applyNumberFormat="1" applyFont="1" applyBorder="1" applyAlignment="1">
      <alignment horizontal="center"/>
    </xf>
    <xf numFmtId="0" fontId="55" fillId="0" borderId="33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8" xfId="0" applyFont="1" applyBorder="1" applyAlignment="1" quotePrefix="1">
      <alignment vertical="center" wrapText="1"/>
    </xf>
    <xf numFmtId="0" fontId="55" fillId="0" borderId="26" xfId="0" applyFont="1" applyBorder="1" applyAlignment="1" quotePrefix="1">
      <alignment vertical="center" wrapText="1"/>
    </xf>
    <xf numFmtId="0" fontId="55" fillId="39" borderId="27" xfId="0" applyNumberFormat="1" applyFont="1" applyFill="1" applyBorder="1" applyAlignment="1">
      <alignment/>
    </xf>
    <xf numFmtId="0" fontId="0" fillId="0" borderId="31" xfId="0" applyNumberFormat="1" applyBorder="1" applyAlignment="1">
      <alignment/>
    </xf>
    <xf numFmtId="0" fontId="55" fillId="39" borderId="24" xfId="0" applyNumberFormat="1" applyFont="1" applyFill="1" applyBorder="1" applyAlignment="1">
      <alignment/>
    </xf>
    <xf numFmtId="0" fontId="0" fillId="0" borderId="32" xfId="0" applyNumberFormat="1" applyBorder="1" applyAlignment="1">
      <alignment/>
    </xf>
    <xf numFmtId="0" fontId="55" fillId="39" borderId="19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31" xfId="0" applyNumberFormat="1" applyFon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49" fontId="55" fillId="0" borderId="24" xfId="0" applyNumberFormat="1" applyFont="1" applyBorder="1" applyAlignment="1">
      <alignment horizontal="center"/>
    </xf>
    <xf numFmtId="0" fontId="55" fillId="0" borderId="27" xfId="0" applyNumberFormat="1" applyFont="1" applyBorder="1" applyAlignment="1">
      <alignment horizontal="center"/>
    </xf>
    <xf numFmtId="49" fontId="55" fillId="0" borderId="27" xfId="0" applyNumberFormat="1" applyFont="1" applyBorder="1" applyAlignment="1">
      <alignment horizontal="center"/>
    </xf>
    <xf numFmtId="164" fontId="55" fillId="0" borderId="24" xfId="0" applyNumberFormat="1" applyFont="1" applyBorder="1" applyAlignment="1">
      <alignment/>
    </xf>
    <xf numFmtId="164" fontId="55" fillId="39" borderId="27" xfId="0" applyNumberFormat="1" applyFont="1" applyFill="1" applyBorder="1" applyAlignment="1">
      <alignment/>
    </xf>
    <xf numFmtId="164" fontId="55" fillId="39" borderId="24" xfId="0" applyNumberFormat="1" applyFont="1" applyFill="1" applyBorder="1" applyAlignment="1">
      <alignment/>
    </xf>
    <xf numFmtId="164" fontId="55" fillId="0" borderId="27" xfId="0" applyNumberFormat="1" applyFont="1" applyBorder="1" applyAlignment="1">
      <alignment/>
    </xf>
    <xf numFmtId="164" fontId="55" fillId="39" borderId="19" xfId="0" applyNumberFormat="1" applyFont="1" applyFill="1" applyBorder="1" applyAlignment="1">
      <alignment/>
    </xf>
    <xf numFmtId="164" fontId="55" fillId="0" borderId="28" xfId="0" applyNumberFormat="1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8" fillId="0" borderId="0" xfId="0" applyNumberFormat="1" applyFont="1" applyBorder="1" applyAlignment="1">
      <alignment horizontal="left" vertical="center" wrapText="1"/>
    </xf>
    <xf numFmtId="0" fontId="57" fillId="3" borderId="22" xfId="0" applyFont="1" applyFill="1" applyBorder="1" applyAlignment="1" quotePrefix="1">
      <alignment/>
    </xf>
    <xf numFmtId="0" fontId="55" fillId="3" borderId="10" xfId="0" applyFont="1" applyFill="1" applyBorder="1" applyAlignment="1">
      <alignment/>
    </xf>
    <xf numFmtId="0" fontId="55" fillId="3" borderId="11" xfId="0" applyFont="1" applyFill="1" applyBorder="1" applyAlignment="1">
      <alignment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7" fillId="37" borderId="35" xfId="0" applyFont="1" applyFill="1" applyBorder="1" applyAlignment="1" applyProtection="1">
      <alignment horizontal="center" vertical="center"/>
      <protection/>
    </xf>
    <xf numFmtId="0" fontId="7" fillId="37" borderId="36" xfId="0" applyFont="1" applyFill="1" applyBorder="1" applyAlignment="1" applyProtection="1">
      <alignment horizontal="center" vertical="center"/>
      <protection/>
    </xf>
    <xf numFmtId="0" fontId="64" fillId="33" borderId="0" xfId="0" applyFont="1" applyFill="1" applyBorder="1" applyAlignment="1" applyProtection="1">
      <alignment horizontal="left" vertical="center"/>
      <protection/>
    </xf>
    <xf numFmtId="0" fontId="64" fillId="33" borderId="0" xfId="0" applyFont="1" applyFill="1" applyBorder="1" applyAlignment="1" applyProtection="1">
      <alignment horizontal="center" vertical="center"/>
      <protection/>
    </xf>
    <xf numFmtId="0" fontId="6" fillId="13" borderId="26" xfId="0" applyFont="1" applyFill="1" applyBorder="1" applyAlignment="1" applyProtection="1">
      <alignment horizontal="center" vertical="center"/>
      <protection/>
    </xf>
    <xf numFmtId="0" fontId="6" fillId="13" borderId="27" xfId="0" applyFont="1" applyFill="1" applyBorder="1" applyAlignment="1" applyProtection="1">
      <alignment horizontal="center" vertical="center"/>
      <protection/>
    </xf>
    <xf numFmtId="0" fontId="6" fillId="13" borderId="28" xfId="0" applyFont="1" applyFill="1" applyBorder="1" applyAlignment="1" applyProtection="1">
      <alignment horizontal="center" vertical="center"/>
      <protection/>
    </xf>
    <xf numFmtId="164" fontId="11" fillId="40" borderId="34" xfId="0" applyNumberFormat="1" applyFont="1" applyFill="1" applyBorder="1" applyAlignment="1" applyProtection="1">
      <alignment horizontal="center" vertical="center"/>
      <protection/>
    </xf>
    <xf numFmtId="164" fontId="11" fillId="40" borderId="35" xfId="0" applyNumberFormat="1" applyFont="1" applyFill="1" applyBorder="1" applyAlignment="1" applyProtection="1">
      <alignment horizontal="center" vertical="center"/>
      <protection/>
    </xf>
    <xf numFmtId="0" fontId="7" fillId="37" borderId="37" xfId="0" applyFont="1" applyFill="1" applyBorder="1" applyAlignment="1" applyProtection="1">
      <alignment horizontal="center" vertical="center"/>
      <protection/>
    </xf>
    <xf numFmtId="0" fontId="7" fillId="37" borderId="38" xfId="0" applyFont="1" applyFill="1" applyBorder="1" applyAlignment="1" applyProtection="1">
      <alignment horizontal="center" vertical="center"/>
      <protection/>
    </xf>
    <xf numFmtId="0" fontId="7" fillId="37" borderId="39" xfId="0" applyFont="1" applyFill="1" applyBorder="1" applyAlignment="1" applyProtection="1">
      <alignment horizontal="center" vertical="center"/>
      <protection/>
    </xf>
    <xf numFmtId="0" fontId="7" fillId="37" borderId="40" xfId="0" applyFont="1" applyFill="1" applyBorder="1" applyAlignment="1" applyProtection="1">
      <alignment horizontal="center" vertical="center"/>
      <protection/>
    </xf>
    <xf numFmtId="2" fontId="11" fillId="40" borderId="36" xfId="0" applyNumberFormat="1" applyFont="1" applyFill="1" applyBorder="1" applyAlignment="1" applyProtection="1">
      <alignment horizontal="center" vertical="center"/>
      <protection/>
    </xf>
    <xf numFmtId="2" fontId="7" fillId="37" borderId="29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 quotePrefix="1">
      <alignment horizontal="center"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18" fillId="34" borderId="14" xfId="0" applyFont="1" applyFill="1" applyBorder="1" applyAlignment="1" applyProtection="1">
      <alignment horizontal="center" vertical="center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2" fontId="11" fillId="40" borderId="41" xfId="0" applyNumberFormat="1" applyFont="1" applyFill="1" applyBorder="1" applyAlignment="1" applyProtection="1">
      <alignment horizontal="center" vertical="center"/>
      <protection/>
    </xf>
    <xf numFmtId="2" fontId="11" fillId="40" borderId="42" xfId="0" applyNumberFormat="1" applyFont="1" applyFill="1" applyBorder="1" applyAlignment="1" applyProtection="1">
      <alignment horizontal="center" vertical="center"/>
      <protection/>
    </xf>
    <xf numFmtId="2" fontId="11" fillId="40" borderId="43" xfId="0" applyNumberFormat="1" applyFont="1" applyFill="1" applyBorder="1" applyAlignment="1" applyProtection="1">
      <alignment horizontal="center" vertical="center"/>
      <protection/>
    </xf>
    <xf numFmtId="0" fontId="6" fillId="13" borderId="13" xfId="0" applyFont="1" applyFill="1" applyBorder="1" applyAlignment="1" applyProtection="1">
      <alignment horizontal="center" vertical="center"/>
      <protection/>
    </xf>
    <xf numFmtId="0" fontId="6" fillId="13" borderId="20" xfId="0" applyFont="1" applyFill="1" applyBorder="1" applyAlignment="1" applyProtection="1">
      <alignment horizontal="center" vertical="center"/>
      <protection/>
    </xf>
    <xf numFmtId="0" fontId="18" fillId="13" borderId="21" xfId="0" applyFont="1" applyFill="1" applyBorder="1" applyAlignment="1" applyProtection="1">
      <alignment horizontal="center" vertical="center"/>
      <protection/>
    </xf>
    <xf numFmtId="0" fontId="0" fillId="41" borderId="0" xfId="0" applyFill="1" applyAlignment="1">
      <alignment/>
    </xf>
    <xf numFmtId="0" fontId="55" fillId="41" borderId="0" xfId="0" applyFont="1" applyFill="1" applyAlignment="1">
      <alignment/>
    </xf>
    <xf numFmtId="0" fontId="65" fillId="0" borderId="22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7" fillId="37" borderId="19" xfId="0" applyFont="1" applyFill="1" applyBorder="1" applyAlignment="1" applyProtection="1">
      <alignment horizontal="center" vertical="center"/>
      <protection/>
    </xf>
    <xf numFmtId="0" fontId="7" fillId="37" borderId="28" xfId="0" applyFont="1" applyFill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4" xfId="0" applyFont="1" applyFill="1" applyBorder="1" applyAlignment="1" applyProtection="1">
      <alignment horizontal="center" vertical="center"/>
      <protection/>
    </xf>
    <xf numFmtId="0" fontId="7" fillId="37" borderId="27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18" xfId="0" applyFont="1" applyFill="1" applyBorder="1" applyAlignment="1" applyProtection="1">
      <alignment horizontal="center" vertical="center"/>
      <protection/>
    </xf>
    <xf numFmtId="0" fontId="7" fillId="37" borderId="26" xfId="0" applyFont="1" applyFill="1" applyBorder="1" applyAlignment="1" applyProtection="1">
      <alignment horizontal="center" vertical="center"/>
      <protection/>
    </xf>
    <xf numFmtId="0" fontId="7" fillId="37" borderId="44" xfId="0" applyFont="1" applyFill="1" applyBorder="1" applyAlignment="1" applyProtection="1">
      <alignment horizontal="center" vertical="center"/>
      <protection/>
    </xf>
    <xf numFmtId="0" fontId="7" fillId="37" borderId="25" xfId="0" applyFont="1" applyFill="1" applyBorder="1" applyAlignment="1" applyProtection="1">
      <alignment horizontal="center" vertical="center"/>
      <protection/>
    </xf>
    <xf numFmtId="0" fontId="7" fillId="37" borderId="45" xfId="0" applyFont="1" applyFill="1" applyBorder="1" applyAlignment="1" applyProtection="1">
      <alignment horizontal="center" vertical="center"/>
      <protection/>
    </xf>
    <xf numFmtId="2" fontId="11" fillId="40" borderId="32" xfId="0" applyNumberFormat="1" applyFont="1" applyFill="1" applyBorder="1" applyAlignment="1" applyProtection="1">
      <alignment horizontal="center" vertical="center"/>
      <protection/>
    </xf>
    <xf numFmtId="2" fontId="11" fillId="40" borderId="19" xfId="0" applyNumberFormat="1" applyFont="1" applyFill="1" applyBorder="1" applyAlignment="1" applyProtection="1">
      <alignment horizontal="center" vertical="center"/>
      <protection/>
    </xf>
    <xf numFmtId="2" fontId="11" fillId="40" borderId="28" xfId="0" applyNumberFormat="1" applyFont="1" applyFill="1" applyBorder="1" applyAlignment="1" applyProtection="1">
      <alignment horizontal="center" vertical="center"/>
      <protection/>
    </xf>
    <xf numFmtId="2" fontId="11" fillId="40" borderId="31" xfId="0" applyNumberFormat="1" applyFont="1" applyFill="1" applyBorder="1" applyAlignment="1" applyProtection="1">
      <alignment horizontal="center" vertical="center"/>
      <protection/>
    </xf>
    <xf numFmtId="2" fontId="11" fillId="40" borderId="24" xfId="0" applyNumberFormat="1" applyFont="1" applyFill="1" applyBorder="1" applyAlignment="1" applyProtection="1">
      <alignment horizontal="center" vertical="center"/>
      <protection/>
    </xf>
    <xf numFmtId="2" fontId="11" fillId="40" borderId="27" xfId="0" applyNumberFormat="1" applyFont="1" applyFill="1" applyBorder="1" applyAlignment="1" applyProtection="1">
      <alignment horizontal="center" vertical="center"/>
      <protection/>
    </xf>
    <xf numFmtId="2" fontId="11" fillId="40" borderId="33" xfId="0" applyNumberFormat="1" applyFont="1" applyFill="1" applyBorder="1" applyAlignment="1" applyProtection="1">
      <alignment horizontal="center" vertical="center"/>
      <protection/>
    </xf>
    <xf numFmtId="2" fontId="11" fillId="40" borderId="18" xfId="0" applyNumberFormat="1" applyFont="1" applyFill="1" applyBorder="1" applyAlignment="1" applyProtection="1">
      <alignment horizontal="center" vertical="center"/>
      <protection/>
    </xf>
    <xf numFmtId="2" fontId="11" fillId="40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1" fontId="0" fillId="0" borderId="24" xfId="0" applyNumberFormat="1" applyBorder="1" applyAlignment="1">
      <alignment horizontal="center" vertical="center"/>
    </xf>
    <xf numFmtId="0" fontId="0" fillId="38" borderId="46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0" fillId="38" borderId="50" xfId="0" applyFill="1" applyBorder="1" applyAlignment="1">
      <alignment horizontal="center"/>
    </xf>
    <xf numFmtId="0" fontId="0" fillId="38" borderId="51" xfId="0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1" fontId="0" fillId="0" borderId="25" xfId="0" applyNumberFormat="1" applyBorder="1" applyAlignment="1">
      <alignment horizontal="center" vertical="center"/>
    </xf>
    <xf numFmtId="11" fontId="0" fillId="0" borderId="29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55" fillId="0" borderId="24" xfId="0" applyFont="1" applyFill="1" applyBorder="1" applyAlignment="1">
      <alignment horizontal="left"/>
    </xf>
    <xf numFmtId="0" fontId="55" fillId="0" borderId="52" xfId="0" applyFont="1" applyFill="1" applyBorder="1" applyAlignment="1">
      <alignment horizontal="left"/>
    </xf>
    <xf numFmtId="2" fontId="55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stbData\TEXTES%20OFFICIELS\RT%202005%20-%20titre%20V\Arr&#234;t&#233;_TitreV_RT2005_OUTIL_RECOH_Titre_V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 V Recoh"/>
      <sheetName val="Tableaux de données"/>
      <sheetName val="Calculs intermédiaires"/>
      <sheetName val="Calculs"/>
      <sheetName val="Météo"/>
      <sheetName val="Réf Recoh et Perf"/>
    </sheetNames>
    <sheetDataSet>
      <sheetData sheetId="2">
        <row r="6">
          <cell r="C6">
            <v>38493.340251843176</v>
          </cell>
        </row>
        <row r="7">
          <cell r="C7">
            <v>30196.99405617637</v>
          </cell>
        </row>
        <row r="8">
          <cell r="C8">
            <v>0.979118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="70" zoomScaleNormal="70" zoomScalePageLayoutView="0" workbookViewId="0" topLeftCell="A1">
      <selection activeCell="M25" sqref="M25"/>
    </sheetView>
  </sheetViews>
  <sheetFormatPr defaultColWidth="9.140625" defaultRowHeight="15"/>
  <cols>
    <col min="1" max="1" width="9.140625" style="65" customWidth="1"/>
    <col min="2" max="2" width="11.421875" style="65" customWidth="1"/>
    <col min="3" max="3" width="73.57421875" style="66" bestFit="1" customWidth="1"/>
    <col min="4" max="4" width="28.8515625" style="67" customWidth="1"/>
    <col min="5" max="5" width="75.7109375" style="68" customWidth="1"/>
    <col min="6" max="6" width="8.8515625" style="67" bestFit="1" customWidth="1"/>
    <col min="7" max="7" width="9.140625" style="65" customWidth="1"/>
    <col min="8" max="8" width="4.28125" style="65" bestFit="1" customWidth="1"/>
    <col min="9" max="9" width="5.140625" style="65" customWidth="1"/>
    <col min="10" max="10" width="26.421875" style="65" bestFit="1" customWidth="1"/>
    <col min="11" max="11" width="11.57421875" style="65" customWidth="1"/>
    <col min="12" max="12" width="8.28125" style="65" bestFit="1" customWidth="1"/>
    <col min="13" max="16384" width="9.140625" style="65" customWidth="1"/>
  </cols>
  <sheetData>
    <row r="1" ht="15.75" thickBot="1">
      <c r="A1" s="71" t="s">
        <v>235</v>
      </c>
    </row>
    <row r="2" spans="2:7" ht="27" thickBot="1">
      <c r="B2" s="180" t="s">
        <v>56</v>
      </c>
      <c r="C2" s="181"/>
      <c r="D2" s="181"/>
      <c r="E2" s="181"/>
      <c r="F2" s="181"/>
      <c r="G2" s="182"/>
    </row>
    <row r="4" spans="2:7" ht="18">
      <c r="B4" s="1" t="s">
        <v>5</v>
      </c>
      <c r="C4" s="31"/>
      <c r="D4" s="26"/>
      <c r="E4" s="14"/>
      <c r="F4" s="26"/>
      <c r="G4" s="26"/>
    </row>
    <row r="5" spans="2:7" ht="15.75" thickBot="1">
      <c r="B5" s="2"/>
      <c r="C5" s="32"/>
      <c r="D5" s="15"/>
      <c r="E5" s="15"/>
      <c r="F5" s="15"/>
      <c r="G5" s="15"/>
    </row>
    <row r="6" spans="2:7" ht="15">
      <c r="B6" s="2"/>
      <c r="C6" s="39" t="s">
        <v>6</v>
      </c>
      <c r="D6" s="54" t="s">
        <v>7</v>
      </c>
      <c r="E6" s="55" t="s">
        <v>144</v>
      </c>
      <c r="F6" s="80" t="s">
        <v>2</v>
      </c>
      <c r="G6" s="15"/>
    </row>
    <row r="7" spans="2:27" ht="15">
      <c r="B7" s="2"/>
      <c r="C7" s="47" t="s">
        <v>107</v>
      </c>
      <c r="D7" s="15" t="s">
        <v>110</v>
      </c>
      <c r="E7" s="166"/>
      <c r="F7" s="101" t="s">
        <v>3</v>
      </c>
      <c r="G7" s="15"/>
      <c r="U7" s="179" t="str">
        <f>Calculs!C3</f>
        <v>Usages</v>
      </c>
      <c r="V7" s="178"/>
      <c r="W7" s="178"/>
      <c r="X7" s="178"/>
      <c r="Y7" s="178"/>
      <c r="Z7" s="178"/>
      <c r="AA7" s="178"/>
    </row>
    <row r="8" spans="2:27" ht="30">
      <c r="B8" s="2"/>
      <c r="C8" s="47" t="s">
        <v>119</v>
      </c>
      <c r="D8" s="100" t="s">
        <v>111</v>
      </c>
      <c r="E8" s="109" t="s">
        <v>108</v>
      </c>
      <c r="F8" s="101" t="s">
        <v>2</v>
      </c>
      <c r="G8" s="15"/>
      <c r="U8" s="178" t="str">
        <f>Calculs!C4</f>
        <v>Bâtiment à usage d’habitation - maison individuelle et accolée</v>
      </c>
      <c r="V8" s="178"/>
      <c r="W8" s="178"/>
      <c r="X8" s="178"/>
      <c r="Y8" s="178"/>
      <c r="Z8" s="178"/>
      <c r="AA8" s="178"/>
    </row>
    <row r="9" spans="2:27" ht="15">
      <c r="B9" s="2"/>
      <c r="C9" s="47" t="s">
        <v>133</v>
      </c>
      <c r="D9" s="100" t="s">
        <v>134</v>
      </c>
      <c r="E9" s="99" t="s">
        <v>234</v>
      </c>
      <c r="F9" s="101" t="s">
        <v>2</v>
      </c>
      <c r="G9" s="15"/>
      <c r="U9" s="178" t="str">
        <f>Calculs!C5</f>
        <v>Bâtiment à usage d’habitation - logement collectif</v>
      </c>
      <c r="V9" s="178"/>
      <c r="W9" s="178"/>
      <c r="X9" s="178"/>
      <c r="Y9" s="178"/>
      <c r="Z9" s="178"/>
      <c r="AA9" s="178"/>
    </row>
    <row r="10" spans="2:27" ht="15">
      <c r="B10" s="2"/>
      <c r="C10" s="47" t="s">
        <v>136</v>
      </c>
      <c r="D10" s="100" t="s">
        <v>135</v>
      </c>
      <c r="E10" s="99" t="s">
        <v>137</v>
      </c>
      <c r="F10" s="101" t="s">
        <v>2</v>
      </c>
      <c r="G10" s="15"/>
      <c r="U10" s="178" t="str">
        <f>Calculs!C6</f>
        <v>Établissements sanitaires avec hébergement</v>
      </c>
      <c r="V10" s="178"/>
      <c r="W10" s="178"/>
      <c r="X10" s="178"/>
      <c r="Y10" s="178"/>
      <c r="Z10" s="178"/>
      <c r="AA10" s="178"/>
    </row>
    <row r="11" spans="2:27" ht="15">
      <c r="B11" s="2"/>
      <c r="C11" s="47" t="s">
        <v>176</v>
      </c>
      <c r="D11" s="100" t="s">
        <v>178</v>
      </c>
      <c r="E11" s="99" t="s">
        <v>171</v>
      </c>
      <c r="F11" s="101"/>
      <c r="G11" s="15"/>
      <c r="U11" s="178" t="str">
        <f>Calculs!C7</f>
        <v>Hôtellerie et autres hébergements</v>
      </c>
      <c r="V11" s="178"/>
      <c r="W11" s="178"/>
      <c r="X11" s="178"/>
      <c r="Y11" s="178"/>
      <c r="Z11" s="178"/>
      <c r="AA11" s="178"/>
    </row>
    <row r="12" spans="2:27" ht="15">
      <c r="B12" s="2"/>
      <c r="C12" s="47" t="s">
        <v>177</v>
      </c>
      <c r="D12" s="100" t="s">
        <v>179</v>
      </c>
      <c r="E12" s="99" t="s">
        <v>175</v>
      </c>
      <c r="F12" s="101"/>
      <c r="G12" s="15"/>
      <c r="U12" s="178" t="str">
        <f>Calculs!C8</f>
        <v>Établissements sanitaires sans hébergement</v>
      </c>
      <c r="V12" s="178"/>
      <c r="W12" s="178"/>
      <c r="X12" s="178"/>
      <c r="Y12" s="178"/>
      <c r="Z12" s="178"/>
      <c r="AA12" s="178"/>
    </row>
    <row r="13" spans="2:27" ht="15">
      <c r="B13" s="2"/>
      <c r="C13" s="32"/>
      <c r="D13" s="15"/>
      <c r="E13" s="15"/>
      <c r="F13" s="15"/>
      <c r="G13" s="15"/>
      <c r="U13" s="178" t="str">
        <f>Calculs!C9</f>
        <v>Enseignement</v>
      </c>
      <c r="V13" s="178"/>
      <c r="W13" s="178"/>
      <c r="X13" s="178"/>
      <c r="Y13" s="178"/>
      <c r="Z13" s="178"/>
      <c r="AA13" s="178"/>
    </row>
    <row r="14" spans="7:27" ht="15">
      <c r="G14" s="67"/>
      <c r="U14" s="178" t="str">
        <f>Calculs!C10</f>
        <v>Bureaux</v>
      </c>
      <c r="V14" s="178"/>
      <c r="W14" s="178"/>
      <c r="X14" s="178"/>
      <c r="Y14" s="178"/>
      <c r="Z14" s="178"/>
      <c r="AA14" s="178"/>
    </row>
    <row r="15" spans="2:27" ht="18">
      <c r="B15" s="1" t="s">
        <v>0</v>
      </c>
      <c r="C15" s="31"/>
      <c r="D15" s="26"/>
      <c r="E15" s="14"/>
      <c r="F15" s="26"/>
      <c r="G15" s="26"/>
      <c r="U15" s="178" t="str">
        <f>Calculs!C11</f>
        <v>Salles de spectacle, de conférence</v>
      </c>
      <c r="V15" s="178"/>
      <c r="W15" s="178"/>
      <c r="X15" s="178"/>
      <c r="Y15" s="178"/>
      <c r="Z15" s="178"/>
      <c r="AA15" s="178"/>
    </row>
    <row r="16" spans="2:27" ht="16.5" customHeight="1" thickBot="1">
      <c r="B16" s="2" t="s">
        <v>183</v>
      </c>
      <c r="C16" s="32"/>
      <c r="D16" s="15"/>
      <c r="E16" s="15"/>
      <c r="F16" s="15"/>
      <c r="G16" s="15"/>
      <c r="U16" s="178" t="str">
        <f>Calculs!C12</f>
        <v>Commerces</v>
      </c>
      <c r="V16" s="178"/>
      <c r="W16" s="178"/>
      <c r="X16" s="178"/>
      <c r="Y16" s="178"/>
      <c r="Z16" s="178"/>
      <c r="AA16" s="178"/>
    </row>
    <row r="17" spans="2:27" ht="16.5" customHeight="1">
      <c r="B17" s="2"/>
      <c r="C17" s="39" t="s">
        <v>209</v>
      </c>
      <c r="D17" s="40" t="s">
        <v>84</v>
      </c>
      <c r="E17" s="41"/>
      <c r="F17" s="42" t="s">
        <v>1</v>
      </c>
      <c r="G17" s="27"/>
      <c r="U17" s="178" t="str">
        <f>Calculs!C13</f>
        <v>Restauration plusieurs repas par jour</v>
      </c>
      <c r="V17" s="178"/>
      <c r="W17" s="178"/>
      <c r="X17" s="178"/>
      <c r="Y17" s="178"/>
      <c r="Z17" s="178"/>
      <c r="AA17" s="178"/>
    </row>
    <row r="18" spans="2:27" ht="30.75" thickBot="1">
      <c r="B18" s="2"/>
      <c r="C18" s="43" t="s">
        <v>205</v>
      </c>
      <c r="D18" s="44" t="s">
        <v>215</v>
      </c>
      <c r="E18" s="45"/>
      <c r="F18" s="46" t="s">
        <v>1</v>
      </c>
      <c r="G18" s="27"/>
      <c r="U18" s="178" t="str">
        <f>Calculs!C14</f>
        <v>Restauration un repas par jour</v>
      </c>
      <c r="V18" s="178"/>
      <c r="W18" s="178"/>
      <c r="X18" s="178"/>
      <c r="Y18" s="178"/>
      <c r="Z18" s="178"/>
      <c r="AA18" s="178"/>
    </row>
    <row r="19" spans="2:27" ht="15.75" thickBot="1">
      <c r="B19" s="2" t="s">
        <v>184</v>
      </c>
      <c r="C19" s="32"/>
      <c r="D19" s="27"/>
      <c r="E19" s="27"/>
      <c r="F19" s="27"/>
      <c r="G19" s="27"/>
      <c r="U19" s="178" t="str">
        <f>Calculs!C15</f>
        <v>Établissements sportifs</v>
      </c>
      <c r="V19" s="178"/>
      <c r="W19" s="178"/>
      <c r="X19" s="178"/>
      <c r="Y19" s="178"/>
      <c r="Z19" s="178"/>
      <c r="AA19" s="178"/>
    </row>
    <row r="20" spans="2:27" ht="15.75" thickBot="1">
      <c r="B20" s="2"/>
      <c r="C20" s="50" t="s">
        <v>188</v>
      </c>
      <c r="D20" s="51" t="s">
        <v>189</v>
      </c>
      <c r="E20" s="52"/>
      <c r="F20" s="53" t="s">
        <v>190</v>
      </c>
      <c r="G20" s="27"/>
      <c r="I20" s="70"/>
      <c r="U20" s="178" t="str">
        <f>Calculs!C16</f>
        <v>Stockage</v>
      </c>
      <c r="V20" s="178"/>
      <c r="W20" s="178"/>
      <c r="X20" s="178"/>
      <c r="Y20" s="178"/>
      <c r="Z20" s="178"/>
      <c r="AA20" s="178"/>
    </row>
    <row r="21" spans="2:27" ht="15.75" thickBot="1">
      <c r="B21" s="2" t="s">
        <v>206</v>
      </c>
      <c r="C21" s="32"/>
      <c r="D21" s="27"/>
      <c r="E21" s="15"/>
      <c r="F21" s="27"/>
      <c r="G21" s="27"/>
      <c r="U21" s="178" t="str">
        <f>Calculs!C17</f>
        <v>Industrie </v>
      </c>
      <c r="V21" s="178"/>
      <c r="W21" s="178"/>
      <c r="X21" s="178"/>
      <c r="Y21" s="178"/>
      <c r="Z21" s="178"/>
      <c r="AA21" s="178"/>
    </row>
    <row r="22" spans="2:27" ht="21" thickBot="1">
      <c r="B22" s="2"/>
      <c r="C22" s="50" t="s">
        <v>8</v>
      </c>
      <c r="D22" s="171" t="s">
        <v>225</v>
      </c>
      <c r="E22" s="52"/>
      <c r="F22" s="53" t="s">
        <v>2</v>
      </c>
      <c r="G22" s="27"/>
      <c r="I22" s="70"/>
      <c r="U22" s="178" t="str">
        <f>Calculs!C18</f>
        <v>Transport</v>
      </c>
      <c r="V22" s="178"/>
      <c r="W22" s="178"/>
      <c r="X22" s="178"/>
      <c r="Y22" s="178"/>
      <c r="Z22" s="178"/>
      <c r="AA22" s="178"/>
    </row>
    <row r="23" spans="2:27" ht="15.75" thickBot="1">
      <c r="B23" s="2" t="s">
        <v>192</v>
      </c>
      <c r="C23" s="32"/>
      <c r="D23" s="27"/>
      <c r="E23" s="15"/>
      <c r="F23" s="27"/>
      <c r="G23" s="27"/>
      <c r="I23" s="70"/>
      <c r="U23" s="178" t="str">
        <f>Calculs!C19</f>
        <v>Locaux non compris dans une autre catégorie</v>
      </c>
      <c r="V23" s="178"/>
      <c r="W23" s="178"/>
      <c r="X23" s="178"/>
      <c r="Y23" s="178"/>
      <c r="Z23" s="178"/>
      <c r="AA23" s="178"/>
    </row>
    <row r="24" spans="2:9" ht="20.25">
      <c r="B24" s="2"/>
      <c r="C24" s="39" t="s">
        <v>15</v>
      </c>
      <c r="D24" s="168" t="s">
        <v>217</v>
      </c>
      <c r="E24" s="41"/>
      <c r="F24" s="42" t="s">
        <v>12</v>
      </c>
      <c r="G24" s="27"/>
      <c r="I24" s="70"/>
    </row>
    <row r="25" spans="2:27" ht="21" thickBot="1">
      <c r="B25" s="2"/>
      <c r="C25" s="43" t="s">
        <v>16</v>
      </c>
      <c r="D25" s="169" t="s">
        <v>218</v>
      </c>
      <c r="E25" s="49"/>
      <c r="F25" s="46" t="s">
        <v>3</v>
      </c>
      <c r="G25" s="27"/>
      <c r="I25" s="70"/>
      <c r="U25" s="179" t="str">
        <f>Calculs!C23</f>
        <v>Type</v>
      </c>
      <c r="V25" s="178"/>
      <c r="W25" s="178"/>
      <c r="Y25" s="179" t="str">
        <f>Calculs!B30</f>
        <v>Présence d'une protection mobile? (pour le calcul du Eta en été)</v>
      </c>
      <c r="Z25" s="178"/>
      <c r="AA25" s="178"/>
    </row>
    <row r="26" spans="2:25" ht="18.75" thickBot="1">
      <c r="B26" s="2" t="s">
        <v>185</v>
      </c>
      <c r="C26" s="32"/>
      <c r="D26" s="170"/>
      <c r="E26" s="15"/>
      <c r="F26" s="27"/>
      <c r="G26" s="27"/>
      <c r="I26" s="70"/>
      <c r="U26" s="178" t="str">
        <f>Calculs!C24</f>
        <v>Fenêtre un vantail</v>
      </c>
      <c r="V26" s="178"/>
      <c r="W26" s="178"/>
      <c r="Y26" s="178" t="str">
        <f>Calculs!C31</f>
        <v>Oui</v>
      </c>
    </row>
    <row r="27" spans="2:25" ht="20.25">
      <c r="B27" s="2"/>
      <c r="C27" s="39" t="s">
        <v>37</v>
      </c>
      <c r="D27" s="168" t="s">
        <v>219</v>
      </c>
      <c r="E27" s="41"/>
      <c r="F27" s="42" t="s">
        <v>1</v>
      </c>
      <c r="G27" s="27"/>
      <c r="I27" s="70"/>
      <c r="U27" s="178" t="str">
        <f>Calculs!C25</f>
        <v>Fenêtre deux vantaux</v>
      </c>
      <c r="V27" s="178"/>
      <c r="W27" s="178"/>
      <c r="Y27" s="178" t="str">
        <f>Calculs!C32</f>
        <v>Non</v>
      </c>
    </row>
    <row r="28" spans="2:23" ht="21" thickBot="1">
      <c r="B28" s="2"/>
      <c r="C28" s="43" t="s">
        <v>38</v>
      </c>
      <c r="D28" s="169" t="s">
        <v>220</v>
      </c>
      <c r="E28" s="45"/>
      <c r="F28" s="46" t="s">
        <v>1</v>
      </c>
      <c r="G28" s="27"/>
      <c r="I28" s="70"/>
      <c r="U28" s="178" t="str">
        <f>Calculs!C26</f>
        <v>Porte fenetre</v>
      </c>
      <c r="V28" s="178"/>
      <c r="W28" s="178"/>
    </row>
    <row r="29" spans="2:9" ht="18.75" thickBot="1">
      <c r="B29" s="2" t="s">
        <v>186</v>
      </c>
      <c r="C29" s="32"/>
      <c r="D29" s="170"/>
      <c r="E29" s="15"/>
      <c r="F29" s="27"/>
      <c r="G29" s="27"/>
      <c r="I29" s="70"/>
    </row>
    <row r="30" spans="2:27" ht="20.25">
      <c r="B30" s="2"/>
      <c r="C30" s="39" t="s">
        <v>39</v>
      </c>
      <c r="D30" s="168" t="s">
        <v>221</v>
      </c>
      <c r="E30" s="41"/>
      <c r="F30" s="42" t="s">
        <v>1</v>
      </c>
      <c r="G30" s="27"/>
      <c r="I30" s="70"/>
      <c r="U30" s="179" t="str">
        <f>Calculs!H6</f>
        <v>Perméabilité par défaut en résidentiel</v>
      </c>
      <c r="V30" s="178"/>
      <c r="W30" s="178"/>
      <c r="Y30" s="179" t="str">
        <f>Calculs!H11</f>
        <v>Perméabilité par défaut en tertiaire</v>
      </c>
      <c r="Z30" s="178"/>
      <c r="AA30" s="178"/>
    </row>
    <row r="31" spans="2:27" ht="21" thickBot="1">
      <c r="B31" s="2"/>
      <c r="C31" s="43" t="s">
        <v>40</v>
      </c>
      <c r="D31" s="169" t="s">
        <v>222</v>
      </c>
      <c r="E31" s="45"/>
      <c r="F31" s="46" t="s">
        <v>1</v>
      </c>
      <c r="G31" s="27"/>
      <c r="I31" s="70"/>
      <c r="U31" s="178" t="str">
        <f>Calculs!I7</f>
        <v>Fenêtres sans joints et cheminée sans trappre de fermeture</v>
      </c>
      <c r="V31" s="178"/>
      <c r="W31" s="178"/>
      <c r="Y31" s="178" t="str">
        <f>Calculs!I12</f>
        <v>Fenêtres étanches (à joints)</v>
      </c>
      <c r="Z31" s="178"/>
      <c r="AA31" s="178"/>
    </row>
    <row r="32" spans="2:27" ht="18.75" thickBot="1">
      <c r="B32" s="2" t="s">
        <v>187</v>
      </c>
      <c r="C32" s="32"/>
      <c r="D32" s="170"/>
      <c r="E32" s="15"/>
      <c r="F32" s="27"/>
      <c r="G32" s="27"/>
      <c r="I32" s="70"/>
      <c r="U32" s="178" t="str">
        <f>Calculs!I8</f>
        <v>Fenêtres sans joints ou cheminée sans trappre de fermeture</v>
      </c>
      <c r="V32" s="178"/>
      <c r="W32" s="178"/>
      <c r="Y32" s="178" t="str">
        <f>Calculs!I13</f>
        <v>Autres cas</v>
      </c>
      <c r="Z32" s="178"/>
      <c r="AA32" s="178"/>
    </row>
    <row r="33" spans="2:23" ht="20.25">
      <c r="B33" s="2"/>
      <c r="C33" s="39" t="s">
        <v>13</v>
      </c>
      <c r="D33" s="168" t="s">
        <v>223</v>
      </c>
      <c r="E33" s="41"/>
      <c r="F33" s="42" t="s">
        <v>2</v>
      </c>
      <c r="G33" s="27"/>
      <c r="I33" s="70"/>
      <c r="U33" s="178" t="str">
        <f>Calculs!I9</f>
        <v>Autres cas</v>
      </c>
      <c r="V33" s="178"/>
      <c r="W33" s="178"/>
    </row>
    <row r="34" spans="2:9" ht="21" thickBot="1">
      <c r="B34" s="2"/>
      <c r="C34" s="43" t="s">
        <v>14</v>
      </c>
      <c r="D34" s="169" t="s">
        <v>224</v>
      </c>
      <c r="E34" s="45"/>
      <c r="F34" s="46" t="s">
        <v>2</v>
      </c>
      <c r="G34" s="27"/>
      <c r="I34" s="70" t="s">
        <v>2</v>
      </c>
    </row>
    <row r="35" spans="2:27" ht="15">
      <c r="B35" s="2"/>
      <c r="C35" s="32"/>
      <c r="D35" s="15"/>
      <c r="E35" s="15"/>
      <c r="F35" s="27"/>
      <c r="G35" s="27"/>
      <c r="I35" s="70"/>
      <c r="U35" s="179" t="str">
        <f>Calculs!H15</f>
        <v>Situation du système de ventilation (cf. Th-Ceex, chapitre 9)</v>
      </c>
      <c r="V35" s="178"/>
      <c r="W35" s="178"/>
      <c r="X35" s="178"/>
      <c r="Y35" s="178"/>
      <c r="Z35" s="178"/>
      <c r="AA35" s="178"/>
    </row>
    <row r="36" spans="7:27" ht="15">
      <c r="G36" s="67"/>
      <c r="U36" s="178" t="str">
        <f>Calculs!I16</f>
        <v>Situation 1 : le système de ventilation du projet a été modifié par rapport à celui du bâtiment initial avant travaux</v>
      </c>
      <c r="V36" s="178"/>
      <c r="W36" s="178"/>
      <c r="X36" s="178"/>
      <c r="Y36" s="178"/>
      <c r="Z36" s="178"/>
      <c r="AA36" s="178"/>
    </row>
    <row r="37" spans="2:27" ht="18" customHeight="1">
      <c r="B37" s="154" t="s">
        <v>210</v>
      </c>
      <c r="C37" s="154"/>
      <c r="D37" s="155"/>
      <c r="E37" s="14"/>
      <c r="F37" s="31" t="s">
        <v>211</v>
      </c>
      <c r="G37" s="26"/>
      <c r="H37" s="14"/>
      <c r="I37" s="26"/>
      <c r="J37" s="26"/>
      <c r="K37" s="26"/>
      <c r="L37" s="26"/>
      <c r="U37" s="178" t="str">
        <f>Calculs!I17</f>
        <v>Situation 2 : le système de ventilation est inchangé</v>
      </c>
      <c r="V37" s="178"/>
      <c r="W37" s="178"/>
      <c r="X37" s="178"/>
      <c r="Y37" s="178"/>
      <c r="Z37" s="178"/>
      <c r="AA37" s="178"/>
    </row>
    <row r="38" spans="2:12" ht="18.75" thickBot="1">
      <c r="B38" s="27" t="s">
        <v>34</v>
      </c>
      <c r="C38" s="33"/>
      <c r="D38" s="28"/>
      <c r="E38" s="16"/>
      <c r="F38" s="28"/>
      <c r="G38" s="28"/>
      <c r="H38" s="16"/>
      <c r="I38" s="28"/>
      <c r="J38" s="28"/>
      <c r="K38" s="28"/>
      <c r="L38" s="28"/>
    </row>
    <row r="39" spans="2:27" ht="18" customHeight="1">
      <c r="B39" s="27"/>
      <c r="C39" s="39" t="s">
        <v>20</v>
      </c>
      <c r="D39" s="54" t="s">
        <v>21</v>
      </c>
      <c r="E39" s="161" t="s">
        <v>24</v>
      </c>
      <c r="F39" s="189" t="s">
        <v>23</v>
      </c>
      <c r="G39" s="190"/>
      <c r="H39" s="190"/>
      <c r="I39" s="191"/>
      <c r="J39" s="153" t="s">
        <v>25</v>
      </c>
      <c r="K39" s="80" t="s">
        <v>2</v>
      </c>
      <c r="L39" s="28"/>
      <c r="U39" s="179" t="str">
        <f>Calculs!I20</f>
        <v>Type de ventilation</v>
      </c>
      <c r="V39" s="178"/>
      <c r="W39" s="178"/>
      <c r="X39" s="178"/>
      <c r="Y39" s="178"/>
      <c r="Z39" s="178"/>
      <c r="AA39" s="178"/>
    </row>
    <row r="40" spans="2:27" ht="18" customHeight="1">
      <c r="B40" s="27"/>
      <c r="C40" s="47" t="s">
        <v>212</v>
      </c>
      <c r="D40" s="167" t="s">
        <v>216</v>
      </c>
      <c r="E40" s="162"/>
      <c r="F40" s="186"/>
      <c r="G40" s="187"/>
      <c r="H40" s="187"/>
      <c r="I40" s="188"/>
      <c r="J40" s="151"/>
      <c r="K40" s="81" t="s">
        <v>3</v>
      </c>
      <c r="L40" s="28"/>
      <c r="U40" s="178" t="str">
        <f>Calculs!I21</f>
        <v>[En Résidentiel] sans objet</v>
      </c>
      <c r="V40" s="178"/>
      <c r="W40" s="178"/>
      <c r="X40" s="178"/>
      <c r="Y40" s="178"/>
      <c r="Z40" s="178"/>
      <c r="AA40" s="178"/>
    </row>
    <row r="41" spans="2:27" ht="18.75" thickBot="1">
      <c r="B41" s="2"/>
      <c r="C41" s="43" t="s">
        <v>88</v>
      </c>
      <c r="D41" s="56" t="s">
        <v>89</v>
      </c>
      <c r="E41" s="163" t="s">
        <v>91</v>
      </c>
      <c r="F41" s="192" t="s">
        <v>91</v>
      </c>
      <c r="G41" s="193"/>
      <c r="H41" s="193"/>
      <c r="I41" s="194"/>
      <c r="J41" s="152" t="s">
        <v>91</v>
      </c>
      <c r="K41" s="82"/>
      <c r="L41" s="28"/>
      <c r="U41" s="178" t="str">
        <f>Calculs!I22</f>
        <v>[En Résidentiel] Ventilation mécanique auto réglable "avant 1982"</v>
      </c>
      <c r="V41" s="178"/>
      <c r="W41" s="178"/>
      <c r="X41" s="178"/>
      <c r="Y41" s="178"/>
      <c r="Z41" s="178"/>
      <c r="AA41" s="178"/>
    </row>
    <row r="42" spans="2:27" ht="18">
      <c r="B42" s="27"/>
      <c r="C42" s="39" t="s">
        <v>41</v>
      </c>
      <c r="D42" s="40" t="s">
        <v>92</v>
      </c>
      <c r="E42" s="164"/>
      <c r="F42" s="189"/>
      <c r="G42" s="190"/>
      <c r="H42" s="190"/>
      <c r="I42" s="191"/>
      <c r="J42" s="153"/>
      <c r="K42" s="42" t="s">
        <v>4</v>
      </c>
      <c r="L42" s="28"/>
      <c r="U42" s="178" t="str">
        <f>Calculs!I23</f>
        <v>[En Résidentiel] Ventilation mécanique auto réglable "après 1982"</v>
      </c>
      <c r="V42" s="178"/>
      <c r="W42" s="178"/>
      <c r="X42" s="178"/>
      <c r="Y42" s="178"/>
      <c r="Z42" s="178"/>
      <c r="AA42" s="178"/>
    </row>
    <row r="43" spans="2:27" ht="35.25" customHeight="1">
      <c r="B43" s="27"/>
      <c r="C43" s="47" t="s">
        <v>42</v>
      </c>
      <c r="D43" s="27" t="s">
        <v>43</v>
      </c>
      <c r="E43" s="162"/>
      <c r="F43" s="186"/>
      <c r="G43" s="187"/>
      <c r="H43" s="187"/>
      <c r="I43" s="188"/>
      <c r="J43" s="151"/>
      <c r="K43" s="48" t="s">
        <v>2</v>
      </c>
      <c r="L43" s="28"/>
      <c r="U43" s="178" t="str">
        <f>Calculs!I24</f>
        <v>[En Résidentiel] Ventilation mécanique à extraction hygroréglable</v>
      </c>
      <c r="V43" s="178"/>
      <c r="W43" s="178"/>
      <c r="X43" s="178"/>
      <c r="Y43" s="178"/>
      <c r="Z43" s="178"/>
      <c r="AA43" s="178"/>
    </row>
    <row r="44" spans="2:27" ht="35.25" customHeight="1">
      <c r="B44" s="27"/>
      <c r="C44" s="47" t="s">
        <v>116</v>
      </c>
      <c r="D44" s="27" t="s">
        <v>117</v>
      </c>
      <c r="E44" s="162"/>
      <c r="F44" s="186"/>
      <c r="G44" s="187"/>
      <c r="H44" s="187"/>
      <c r="I44" s="188"/>
      <c r="J44" s="151"/>
      <c r="K44" s="48" t="s">
        <v>2</v>
      </c>
      <c r="L44" s="28"/>
      <c r="U44" s="178" t="str">
        <f>Calculs!I25</f>
        <v>[En Résidentiel] Ventilation mécanique gaz hygroréglable</v>
      </c>
      <c r="V44" s="178"/>
      <c r="W44" s="178"/>
      <c r="X44" s="178"/>
      <c r="Y44" s="178"/>
      <c r="Z44" s="178"/>
      <c r="AA44" s="178"/>
    </row>
    <row r="45" spans="2:27" ht="18.75" thickBot="1">
      <c r="B45" s="27"/>
      <c r="C45" s="43" t="s">
        <v>44</v>
      </c>
      <c r="D45" s="44" t="s">
        <v>45</v>
      </c>
      <c r="E45" s="163"/>
      <c r="F45" s="183"/>
      <c r="G45" s="184"/>
      <c r="H45" s="184"/>
      <c r="I45" s="185"/>
      <c r="J45" s="152"/>
      <c r="K45" s="46" t="s">
        <v>2</v>
      </c>
      <c r="L45" s="28"/>
      <c r="U45" s="178" t="str">
        <f>Calculs!I26</f>
        <v>[En Résidentiel] Ventilation mécanique à extraction et entrée d'air hygroréglables</v>
      </c>
      <c r="V45" s="178"/>
      <c r="W45" s="178"/>
      <c r="X45" s="178"/>
      <c r="Y45" s="178"/>
      <c r="Z45" s="178"/>
      <c r="AA45" s="178"/>
    </row>
    <row r="46" spans="2:27" ht="18">
      <c r="B46" s="2"/>
      <c r="C46" s="32"/>
      <c r="D46" s="27"/>
      <c r="E46" s="16"/>
      <c r="F46" s="16"/>
      <c r="G46" s="27"/>
      <c r="H46" s="16"/>
      <c r="I46" s="27"/>
      <c r="J46" s="27"/>
      <c r="K46" s="27"/>
      <c r="L46" s="28"/>
      <c r="U46" s="178" t="str">
        <f>Calculs!I27</f>
        <v>[En Résidentiel] Ventilation hybride avec EA hygroréglables</v>
      </c>
      <c r="V46" s="178"/>
      <c r="W46" s="178"/>
      <c r="X46" s="178"/>
      <c r="Y46" s="178"/>
      <c r="Z46" s="178"/>
      <c r="AA46" s="178"/>
    </row>
    <row r="47" spans="2:27" ht="15.75" thickBot="1">
      <c r="B47" s="69"/>
      <c r="F47" s="68"/>
      <c r="I47" s="67"/>
      <c r="J47" s="68"/>
      <c r="K47" s="67"/>
      <c r="U47" s="178" t="str">
        <f>Calculs!I28</f>
        <v>[En Résidentiel] Ventilation hybride sans EA hygroréglables</v>
      </c>
      <c r="V47" s="178"/>
      <c r="W47" s="178"/>
      <c r="X47" s="178"/>
      <c r="Y47" s="178"/>
      <c r="Z47" s="178"/>
      <c r="AA47" s="178"/>
    </row>
    <row r="48" spans="2:27" ht="18.75" thickBot="1">
      <c r="B48" s="64" t="s">
        <v>36</v>
      </c>
      <c r="C48" s="34"/>
      <c r="D48" s="30"/>
      <c r="E48" s="30"/>
      <c r="F48" s="30"/>
      <c r="G48" s="30"/>
      <c r="H48" s="30"/>
      <c r="I48" s="30"/>
      <c r="J48" s="30"/>
      <c r="K48" s="30"/>
      <c r="L48" s="30"/>
      <c r="U48" s="178" t="str">
        <f>Calculs!I29</f>
        <v>[En tertiaire] sans objet</v>
      </c>
      <c r="V48" s="178"/>
      <c r="W48" s="178"/>
      <c r="X48" s="178"/>
      <c r="Y48" s="178"/>
      <c r="Z48" s="178"/>
      <c r="AA48" s="178"/>
    </row>
    <row r="49" spans="2:27" ht="15.75" thickBot="1">
      <c r="B49" s="7" t="s">
        <v>35</v>
      </c>
      <c r="C49" s="35"/>
      <c r="D49" s="29"/>
      <c r="E49" s="8"/>
      <c r="F49" s="8"/>
      <c r="G49" s="8"/>
      <c r="H49" s="29"/>
      <c r="I49" s="29"/>
      <c r="J49" s="29"/>
      <c r="K49" s="29"/>
      <c r="L49" s="29"/>
      <c r="U49" s="178" t="str">
        <f>Calculs!I30</f>
        <v>[En tertiaire] ventilation mécanique Simple Flux</v>
      </c>
      <c r="V49" s="178"/>
      <c r="W49" s="178"/>
      <c r="X49" s="178"/>
      <c r="Y49" s="178"/>
      <c r="Z49" s="178"/>
      <c r="AA49" s="178"/>
    </row>
    <row r="50" spans="2:12" ht="15">
      <c r="B50" s="7"/>
      <c r="C50" s="36" t="s">
        <v>52</v>
      </c>
      <c r="D50" s="175" t="s">
        <v>51</v>
      </c>
      <c r="E50" s="173" t="e">
        <f>Calculs!D74</f>
        <v>#DIV/0!</v>
      </c>
      <c r="F50" s="201" t="e">
        <f>Calculs!E74</f>
        <v>#DIV/0!</v>
      </c>
      <c r="G50" s="202"/>
      <c r="H50" s="202"/>
      <c r="I50" s="203"/>
      <c r="J50" s="165" t="e">
        <f>Calculs!F74</f>
        <v>#DIV/0!</v>
      </c>
      <c r="K50" s="156" t="s">
        <v>4</v>
      </c>
      <c r="L50" s="29"/>
    </row>
    <row r="51" spans="2:12" ht="20.25">
      <c r="B51" s="7"/>
      <c r="C51" s="38" t="s">
        <v>53</v>
      </c>
      <c r="D51" s="177" t="s">
        <v>226</v>
      </c>
      <c r="E51" s="172">
        <f>Calculs!$D$75</f>
        <v>0</v>
      </c>
      <c r="F51" s="198">
        <f>Calculs!E$75</f>
        <v>0</v>
      </c>
      <c r="G51" s="199"/>
      <c r="H51" s="199"/>
      <c r="I51" s="200"/>
      <c r="J51" s="159">
        <f>Calculs!F75</f>
        <v>0</v>
      </c>
      <c r="K51" s="157" t="s">
        <v>2</v>
      </c>
      <c r="L51" s="29"/>
    </row>
    <row r="52" spans="2:12" ht="25.5">
      <c r="B52" s="7"/>
      <c r="C52" s="38" t="s">
        <v>118</v>
      </c>
      <c r="D52" s="177" t="s">
        <v>227</v>
      </c>
      <c r="E52" s="172">
        <f>Calculs!$D$76</f>
        <v>0</v>
      </c>
      <c r="F52" s="198">
        <f>Calculs!E$76</f>
        <v>0</v>
      </c>
      <c r="G52" s="199"/>
      <c r="H52" s="199"/>
      <c r="I52" s="200"/>
      <c r="J52" s="159">
        <f>Calculs!F76</f>
        <v>0</v>
      </c>
      <c r="K52" s="157" t="s">
        <v>2</v>
      </c>
      <c r="L52" s="29"/>
    </row>
    <row r="53" spans="2:12" ht="15.75" thickBot="1">
      <c r="B53" s="7"/>
      <c r="C53" s="37" t="s">
        <v>54</v>
      </c>
      <c r="D53" s="176" t="s">
        <v>55</v>
      </c>
      <c r="E53" s="174">
        <f>$E$45</f>
        <v>0</v>
      </c>
      <c r="F53" s="195">
        <f>F$45</f>
        <v>0</v>
      </c>
      <c r="G53" s="196"/>
      <c r="H53" s="196"/>
      <c r="I53" s="197"/>
      <c r="J53" s="160">
        <f>J45</f>
        <v>0</v>
      </c>
      <c r="K53" s="158" t="s">
        <v>2</v>
      </c>
      <c r="L53" s="29"/>
    </row>
    <row r="54" spans="2:12" ht="15">
      <c r="B54" s="7"/>
      <c r="C54" s="35"/>
      <c r="D54" s="29"/>
      <c r="E54" s="8"/>
      <c r="F54" s="8"/>
      <c r="G54" s="8"/>
      <c r="H54" s="29"/>
      <c r="I54" s="8"/>
      <c r="J54" s="8"/>
      <c r="K54" s="8"/>
      <c r="L54" s="8"/>
    </row>
    <row r="55" ht="15">
      <c r="B55" s="69"/>
    </row>
  </sheetData>
  <sheetProtection/>
  <mergeCells count="12">
    <mergeCell ref="F53:I53"/>
    <mergeCell ref="F52:I52"/>
    <mergeCell ref="F51:I51"/>
    <mergeCell ref="F50:I50"/>
    <mergeCell ref="B2:G2"/>
    <mergeCell ref="F45:I45"/>
    <mergeCell ref="F44:I44"/>
    <mergeCell ref="F43:I43"/>
    <mergeCell ref="F42:I42"/>
    <mergeCell ref="F41:I41"/>
    <mergeCell ref="F40:I40"/>
    <mergeCell ref="F39:I39"/>
  </mergeCells>
  <dataValidations count="7">
    <dataValidation type="list" allowBlank="1" showInputMessage="1" showErrorMessage="1" sqref="E6">
      <formula1>$U$8:$U$23</formula1>
    </dataValidation>
    <dataValidation type="list" allowBlank="1" showInputMessage="1" showErrorMessage="1" sqref="E8">
      <formula1>$U$36:$U$37</formula1>
    </dataValidation>
    <dataValidation type="list" allowBlank="1" showInputMessage="1" showErrorMessage="1" sqref="E9">
      <formula1>$U$40:$U$47</formula1>
    </dataValidation>
    <dataValidation type="list" allowBlank="1" showInputMessage="1" showErrorMessage="1" sqref="E10">
      <formula1>$U$48:$U$49</formula1>
    </dataValidation>
    <dataValidation type="list" allowBlank="1" showInputMessage="1" showErrorMessage="1" sqref="E11">
      <formula1>$U$31:$U$33</formula1>
    </dataValidation>
    <dataValidation type="list" allowBlank="1" showInputMessage="1" showErrorMessage="1" sqref="E12">
      <formula1>$Y$31:$Y$32</formula1>
    </dataValidation>
    <dataValidation type="list" allowBlank="1" showInputMessage="1" showErrorMessage="1" sqref="E39:J39">
      <formula1>$U$26:$U$28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85"/>
  <sheetViews>
    <sheetView zoomScale="85" zoomScaleNormal="85" zoomScalePageLayoutView="0" workbookViewId="0" topLeftCell="A1">
      <selection activeCell="D60" sqref="D60"/>
    </sheetView>
  </sheetViews>
  <sheetFormatPr defaultColWidth="9.140625" defaultRowHeight="15"/>
  <cols>
    <col min="1" max="1" width="9.140625" style="0" customWidth="1"/>
    <col min="2" max="2" width="39.140625" style="0" bestFit="1" customWidth="1"/>
    <col min="3" max="3" width="60.8515625" style="0" customWidth="1"/>
    <col min="4" max="4" width="10.421875" style="0" customWidth="1"/>
    <col min="5" max="6" width="9.140625" style="0" customWidth="1"/>
    <col min="7" max="22" width="9.28125" style="0" customWidth="1"/>
    <col min="23" max="23" width="9.28125" style="0" customWidth="1" collapsed="1"/>
    <col min="24" max="24" width="11.421875" style="0" customWidth="1"/>
    <col min="25" max="25" width="10.421875" style="0" bestFit="1" customWidth="1"/>
    <col min="26" max="26" width="19.8515625" style="0" bestFit="1" customWidth="1"/>
    <col min="27" max="27" width="22.7109375" style="0" bestFit="1" customWidth="1"/>
    <col min="28" max="30" width="27.8515625" style="0" bestFit="1" customWidth="1"/>
  </cols>
  <sheetData>
    <row r="1" spans="1:20" ht="15">
      <c r="A1" s="4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8" ht="15">
      <c r="B2" s="6" t="s">
        <v>9</v>
      </c>
      <c r="H2" s="6"/>
    </row>
    <row r="3" spans="3:4" ht="15">
      <c r="C3" s="6" t="s">
        <v>161</v>
      </c>
      <c r="D3" s="6" t="s">
        <v>160</v>
      </c>
    </row>
    <row r="4" spans="3:4" ht="15">
      <c r="C4" t="s">
        <v>144</v>
      </c>
      <c r="D4" s="13">
        <v>0</v>
      </c>
    </row>
    <row r="5" spans="3:4" ht="15">
      <c r="C5" t="s">
        <v>145</v>
      </c>
      <c r="D5" s="13">
        <v>0</v>
      </c>
    </row>
    <row r="6" spans="3:8" ht="15">
      <c r="C6" t="s">
        <v>147</v>
      </c>
      <c r="D6">
        <v>3</v>
      </c>
      <c r="H6" s="6" t="s">
        <v>170</v>
      </c>
    </row>
    <row r="7" spans="3:9" ht="15">
      <c r="C7" t="s">
        <v>146</v>
      </c>
      <c r="D7">
        <v>3</v>
      </c>
      <c r="I7" t="s">
        <v>171</v>
      </c>
    </row>
    <row r="8" spans="3:9" ht="15">
      <c r="C8" t="s">
        <v>159</v>
      </c>
      <c r="D8">
        <v>3</v>
      </c>
      <c r="I8" t="s">
        <v>172</v>
      </c>
    </row>
    <row r="9" spans="3:9" ht="15">
      <c r="C9" t="s">
        <v>148</v>
      </c>
      <c r="D9">
        <v>5</v>
      </c>
      <c r="I9" t="s">
        <v>173</v>
      </c>
    </row>
    <row r="10" spans="3:4" ht="15">
      <c r="C10" t="s">
        <v>149</v>
      </c>
      <c r="D10">
        <v>3</v>
      </c>
    </row>
    <row r="11" spans="3:8" ht="15">
      <c r="C11" t="s">
        <v>150</v>
      </c>
      <c r="D11">
        <v>8</v>
      </c>
      <c r="H11" s="6" t="s">
        <v>174</v>
      </c>
    </row>
    <row r="12" spans="3:9" ht="15">
      <c r="C12" t="s">
        <v>151</v>
      </c>
      <c r="D12">
        <v>4</v>
      </c>
      <c r="I12" t="s">
        <v>175</v>
      </c>
    </row>
    <row r="13" spans="3:9" ht="15">
      <c r="C13" t="s">
        <v>152</v>
      </c>
      <c r="D13">
        <v>8</v>
      </c>
      <c r="I13" t="s">
        <v>173</v>
      </c>
    </row>
    <row r="14" spans="3:4" ht="15">
      <c r="C14" t="s">
        <v>153</v>
      </c>
      <c r="D14">
        <v>8</v>
      </c>
    </row>
    <row r="15" spans="3:8" ht="15">
      <c r="C15" t="s">
        <v>154</v>
      </c>
      <c r="D15">
        <v>3</v>
      </c>
      <c r="H15" s="6" t="s">
        <v>164</v>
      </c>
    </row>
    <row r="16" spans="3:9" ht="15">
      <c r="C16" t="s">
        <v>155</v>
      </c>
      <c r="D16">
        <v>0.1</v>
      </c>
      <c r="I16" t="s">
        <v>108</v>
      </c>
    </row>
    <row r="17" spans="3:9" ht="15">
      <c r="C17" t="s">
        <v>156</v>
      </c>
      <c r="D17">
        <v>0.1</v>
      </c>
      <c r="I17" t="s">
        <v>109</v>
      </c>
    </row>
    <row r="18" spans="3:4" ht="15">
      <c r="C18" t="s">
        <v>157</v>
      </c>
      <c r="D18">
        <v>4</v>
      </c>
    </row>
    <row r="19" spans="3:8" ht="15.75" thickBot="1">
      <c r="C19" t="s">
        <v>158</v>
      </c>
      <c r="D19">
        <v>3</v>
      </c>
      <c r="H19" s="102" t="s">
        <v>162</v>
      </c>
    </row>
    <row r="20" spans="9:24" ht="90">
      <c r="I20" s="228" t="s">
        <v>163</v>
      </c>
      <c r="J20" s="228"/>
      <c r="K20" s="228"/>
      <c r="L20" s="229"/>
      <c r="M20" s="123" t="s">
        <v>112</v>
      </c>
      <c r="N20" s="124" t="s">
        <v>113</v>
      </c>
      <c r="O20" s="124" t="s">
        <v>13</v>
      </c>
      <c r="P20" s="124" t="s">
        <v>14</v>
      </c>
      <c r="Q20" s="125" t="s">
        <v>131</v>
      </c>
      <c r="R20" s="126" t="s">
        <v>130</v>
      </c>
      <c r="S20" s="123" t="s">
        <v>114</v>
      </c>
      <c r="T20" s="125" t="s">
        <v>165</v>
      </c>
      <c r="U20" s="126" t="s">
        <v>166</v>
      </c>
      <c r="V20" s="123" t="s">
        <v>167</v>
      </c>
      <c r="W20" s="125" t="s">
        <v>168</v>
      </c>
      <c r="X20" s="126" t="s">
        <v>169</v>
      </c>
    </row>
    <row r="21" spans="8:24" ht="15">
      <c r="H21" s="102"/>
      <c r="I21" s="226" t="s">
        <v>138</v>
      </c>
      <c r="J21" s="226"/>
      <c r="K21" s="226"/>
      <c r="L21" s="227"/>
      <c r="M21" s="116">
        <v>0</v>
      </c>
      <c r="N21" s="113">
        <v>0</v>
      </c>
      <c r="O21" s="113">
        <v>0</v>
      </c>
      <c r="P21" s="113">
        <v>0</v>
      </c>
      <c r="Q21" s="114">
        <f>M21*N21*O21*P21*Interface!$E$7</f>
        <v>0</v>
      </c>
      <c r="R21" s="117"/>
      <c r="S21" s="133">
        <v>0</v>
      </c>
      <c r="T21" s="136">
        <f>$S21*Interface!$E$7</f>
        <v>0</v>
      </c>
      <c r="U21" s="127"/>
      <c r="V21" s="128">
        <f>IF(Interface!$E$11=Calculs!$I$7,2.5,IF(Interface!$E$11=Calculs!$I$8,2,IF(Interface!$E$11=Calculs!$I$9,1.7,"erreur")))</f>
        <v>2.5</v>
      </c>
      <c r="W21" s="139">
        <f>V21*Interface!$E$25</f>
        <v>0</v>
      </c>
      <c r="X21" s="140"/>
    </row>
    <row r="22" spans="2:24" ht="15">
      <c r="B22" s="6" t="s">
        <v>22</v>
      </c>
      <c r="H22" s="103"/>
      <c r="I22" s="226" t="s">
        <v>140</v>
      </c>
      <c r="J22" s="226"/>
      <c r="K22" s="226"/>
      <c r="L22" s="227"/>
      <c r="M22" s="116">
        <v>1.2</v>
      </c>
      <c r="N22" s="113">
        <v>1.15</v>
      </c>
      <c r="O22" s="113">
        <v>1.25</v>
      </c>
      <c r="P22" s="113">
        <v>1.1</v>
      </c>
      <c r="Q22" s="114">
        <f>M22*N22*O22*P22*Interface!$E$7</f>
        <v>0</v>
      </c>
      <c r="R22" s="117"/>
      <c r="S22" s="134">
        <v>2</v>
      </c>
      <c r="T22" s="136">
        <f>$S22*Interface!$E$7</f>
        <v>0</v>
      </c>
      <c r="U22" s="127"/>
      <c r="V22" s="128">
        <f>IF(Interface!$E$11=Calculs!$I$7,2.5,IF(Interface!$E$11=Calculs!$I$8,2,IF(Interface!$E$11=Calculs!$I$9,1.7,"erreur")))</f>
        <v>2.5</v>
      </c>
      <c r="W22" s="139">
        <f>V22*Interface!$E$25</f>
        <v>0</v>
      </c>
      <c r="X22" s="140"/>
    </row>
    <row r="23" spans="3:24" ht="15">
      <c r="C23" s="5" t="s">
        <v>82</v>
      </c>
      <c r="D23" s="5" t="s">
        <v>83</v>
      </c>
      <c r="H23" s="103"/>
      <c r="I23" s="226" t="s">
        <v>139</v>
      </c>
      <c r="J23" s="226"/>
      <c r="K23" s="226"/>
      <c r="L23" s="227"/>
      <c r="M23" s="116">
        <v>1.2</v>
      </c>
      <c r="N23" s="113">
        <v>1</v>
      </c>
      <c r="O23" s="113">
        <v>1.25</v>
      </c>
      <c r="P23" s="113">
        <v>1.1</v>
      </c>
      <c r="Q23" s="114">
        <f>M23*N23*O23*P23*Interface!$E$7</f>
        <v>0</v>
      </c>
      <c r="R23" s="117"/>
      <c r="S23" s="134">
        <v>2</v>
      </c>
      <c r="T23" s="136">
        <f>$S23*Interface!$E$7</f>
        <v>0</v>
      </c>
      <c r="U23" s="127"/>
      <c r="V23" s="128">
        <f>IF(Interface!$E$11=Calculs!$I$7,2.5,IF(Interface!$E$11=Calculs!$I$8,2,IF(Interface!$E$11=Calculs!$I$9,1.7,"erreur")))</f>
        <v>2.5</v>
      </c>
      <c r="W23" s="139">
        <f>V23*Interface!$E$25</f>
        <v>0</v>
      </c>
      <c r="X23" s="140"/>
    </row>
    <row r="24" spans="3:24" ht="15">
      <c r="C24" t="s">
        <v>23</v>
      </c>
      <c r="D24">
        <f>0.9*1.35</f>
        <v>1.215</v>
      </c>
      <c r="H24" s="103"/>
      <c r="I24" s="226" t="s">
        <v>141</v>
      </c>
      <c r="J24" s="226"/>
      <c r="K24" s="226"/>
      <c r="L24" s="227"/>
      <c r="M24" s="116">
        <v>1.2</v>
      </c>
      <c r="N24" s="113">
        <v>0.75</v>
      </c>
      <c r="O24" s="113">
        <v>1.25</v>
      </c>
      <c r="P24" s="113">
        <v>1.1</v>
      </c>
      <c r="Q24" s="114">
        <f>M24*N24*O24*P24*Interface!$E$7</f>
        <v>0</v>
      </c>
      <c r="R24" s="117"/>
      <c r="S24" s="134">
        <v>2</v>
      </c>
      <c r="T24" s="136">
        <f>$S24*Interface!$E$7</f>
        <v>0</v>
      </c>
      <c r="U24" s="127"/>
      <c r="V24" s="128">
        <f>IF(Interface!$E$11=Calculs!$I$7,2.5,IF(Interface!$E$11=Calculs!$I$8,2,IF(Interface!$E$11=Calculs!$I$9,1.7,"erreur")))</f>
        <v>2.5</v>
      </c>
      <c r="W24" s="139">
        <f>V24*Interface!$E$25</f>
        <v>0</v>
      </c>
      <c r="X24" s="140"/>
    </row>
    <row r="25" spans="3:24" ht="15">
      <c r="C25" t="s">
        <v>24</v>
      </c>
      <c r="D25">
        <f>1.35*1.7</f>
        <v>2.295</v>
      </c>
      <c r="H25" s="103"/>
      <c r="I25" s="226" t="s">
        <v>142</v>
      </c>
      <c r="J25" s="226"/>
      <c r="K25" s="226"/>
      <c r="L25" s="227"/>
      <c r="M25" s="116">
        <v>1.2</v>
      </c>
      <c r="N25" s="113">
        <v>0.85</v>
      </c>
      <c r="O25" s="113">
        <v>1.25</v>
      </c>
      <c r="P25" s="113">
        <v>1.1</v>
      </c>
      <c r="Q25" s="114">
        <f>M25*N25*O25*P25*Interface!$E$7</f>
        <v>0</v>
      </c>
      <c r="R25" s="117"/>
      <c r="S25" s="134">
        <v>2</v>
      </c>
      <c r="T25" s="136">
        <f>$S25*Interface!$E$7</f>
        <v>0</v>
      </c>
      <c r="U25" s="127"/>
      <c r="V25" s="128">
        <f>IF(Interface!$E$11=Calculs!$I$7,2.5,IF(Interface!$E$11=Calculs!$I$8,2,IF(Interface!$E$11=Calculs!$I$9,1.7,"erreur")))</f>
        <v>2.5</v>
      </c>
      <c r="W25" s="139">
        <f>V25*Interface!$E$25</f>
        <v>0</v>
      </c>
      <c r="X25" s="140"/>
    </row>
    <row r="26" spans="3:24" ht="15">
      <c r="C26" t="s">
        <v>25</v>
      </c>
      <c r="D26">
        <f>2.15*1.7</f>
        <v>3.655</v>
      </c>
      <c r="H26" s="103"/>
      <c r="I26" s="226" t="s">
        <v>143</v>
      </c>
      <c r="J26" s="226"/>
      <c r="K26" s="226"/>
      <c r="L26" s="227"/>
      <c r="M26" s="116">
        <v>1.2</v>
      </c>
      <c r="N26" s="113">
        <v>0.65</v>
      </c>
      <c r="O26" s="113">
        <v>1.25</v>
      </c>
      <c r="P26" s="113">
        <v>1.1</v>
      </c>
      <c r="Q26" s="114">
        <f>M26*N26*O26*P26*Interface!$E$7</f>
        <v>0</v>
      </c>
      <c r="R26" s="117"/>
      <c r="S26" s="134">
        <v>1.5</v>
      </c>
      <c r="T26" s="136">
        <f>$S26*Interface!$E$7</f>
        <v>0</v>
      </c>
      <c r="U26" s="127"/>
      <c r="V26" s="128">
        <f>IF(Interface!$E$11=Calculs!$I$7,2.5,IF(Interface!$E$11=Calculs!$I$8,2,IF(Interface!$E$11=Calculs!$I$9,1.7,"erreur")))</f>
        <v>2.5</v>
      </c>
      <c r="W26" s="139">
        <f>V26*Interface!$E$25</f>
        <v>0</v>
      </c>
      <c r="X26" s="140"/>
    </row>
    <row r="27" spans="8:24" ht="15">
      <c r="H27" s="103"/>
      <c r="I27" s="226" t="s">
        <v>233</v>
      </c>
      <c r="J27" s="226"/>
      <c r="K27" s="226"/>
      <c r="L27" s="227"/>
      <c r="M27" s="116">
        <v>1.2</v>
      </c>
      <c r="N27" s="113">
        <v>1.25</v>
      </c>
      <c r="O27" s="113">
        <v>1.25</v>
      </c>
      <c r="P27" s="113">
        <v>1.1</v>
      </c>
      <c r="Q27" s="114">
        <f>M27*N27*O27*P27*Interface!$E$7</f>
        <v>0</v>
      </c>
      <c r="R27" s="117"/>
      <c r="S27" s="134">
        <v>2</v>
      </c>
      <c r="T27" s="136">
        <f>$S27*Interface!$E$7</f>
        <v>0</v>
      </c>
      <c r="U27" s="127"/>
      <c r="V27" s="128">
        <f>IF(Interface!$E$11=Calculs!$I$7,2.5,IF(Interface!$E$11=Calculs!$I$8,2,IF(Interface!$E$11=Calculs!$I$9,1.7,"erreur")))</f>
        <v>2.5</v>
      </c>
      <c r="W27" s="139">
        <f>V27*Interface!$E$25</f>
        <v>0</v>
      </c>
      <c r="X27" s="140"/>
    </row>
    <row r="28" spans="8:24" ht="15">
      <c r="H28" s="103"/>
      <c r="I28" s="226" t="s">
        <v>234</v>
      </c>
      <c r="J28" s="226"/>
      <c r="K28" s="226"/>
      <c r="L28" s="227"/>
      <c r="M28" s="116">
        <v>1.2</v>
      </c>
      <c r="N28" s="113">
        <v>1.25</v>
      </c>
      <c r="O28" s="113">
        <v>1.25</v>
      </c>
      <c r="P28" s="113">
        <v>1.1</v>
      </c>
      <c r="Q28" s="114">
        <f>M28*N28*O28*P28*Interface!$E$7</f>
        <v>0</v>
      </c>
      <c r="R28" s="117"/>
      <c r="S28" s="134">
        <v>3</v>
      </c>
      <c r="T28" s="136">
        <f>$S28*Interface!$E$7</f>
        <v>0</v>
      </c>
      <c r="U28" s="127"/>
      <c r="V28" s="128">
        <f>IF(Interface!$E$11=Calculs!$I$7,2.5,IF(Interface!$E$11=Calculs!$I$8,2,IF(Interface!$E$11=Calculs!$I$9,1.7,"erreur")))</f>
        <v>2.5</v>
      </c>
      <c r="W28" s="139">
        <f>V28*Interface!$E$25</f>
        <v>0</v>
      </c>
      <c r="X28" s="140"/>
    </row>
    <row r="29" spans="8:24" ht="15">
      <c r="H29" s="103"/>
      <c r="I29" s="226" t="s">
        <v>137</v>
      </c>
      <c r="J29" s="226"/>
      <c r="K29" s="226"/>
      <c r="L29" s="227"/>
      <c r="M29" s="116">
        <v>0</v>
      </c>
      <c r="N29" s="113">
        <v>0</v>
      </c>
      <c r="O29" s="113">
        <v>0</v>
      </c>
      <c r="P29" s="113">
        <v>0</v>
      </c>
      <c r="Q29" s="115"/>
      <c r="R29" s="118">
        <f>M29*N29*O29*P29*Interface!$E$7</f>
        <v>0</v>
      </c>
      <c r="S29" s="134">
        <v>0</v>
      </c>
      <c r="T29" s="129"/>
      <c r="U29" s="137">
        <f>$S$29*Interface!$E$7</f>
        <v>0</v>
      </c>
      <c r="V29" s="128">
        <v>0</v>
      </c>
      <c r="W29" s="141"/>
      <c r="X29" s="142">
        <f>$V$29*Interface!$E$25</f>
        <v>0</v>
      </c>
    </row>
    <row r="30" spans="2:24" ht="15.75" thickBot="1">
      <c r="B30" s="6" t="s">
        <v>180</v>
      </c>
      <c r="I30" s="226" t="s">
        <v>132</v>
      </c>
      <c r="J30" s="226"/>
      <c r="K30" s="226"/>
      <c r="L30" s="227"/>
      <c r="M30" s="119">
        <f>VLOOKUP(Interface!$E$6,Calculs!$C$4:$D$19,2,FALSE)</f>
        <v>0</v>
      </c>
      <c r="N30" s="120">
        <v>1.05</v>
      </c>
      <c r="O30" s="120">
        <v>1.25</v>
      </c>
      <c r="P30" s="120">
        <v>1.1</v>
      </c>
      <c r="Q30" s="121"/>
      <c r="R30" s="122">
        <f>M30*N30*O30*P30*Interface!$E$7</f>
        <v>0</v>
      </c>
      <c r="S30" s="135">
        <f>$M$30</f>
        <v>0</v>
      </c>
      <c r="T30" s="131"/>
      <c r="U30" s="138">
        <f>S30*Interface!$E$7</f>
        <v>0</v>
      </c>
      <c r="V30" s="130">
        <f>IF(Interface!$E$12=Calculs!$I$12,3,IF(Interface!$E$12=Calculs!$I$13,3.5,"erreur"))</f>
        <v>3</v>
      </c>
      <c r="W30" s="143"/>
      <c r="X30" s="144">
        <f>V30*Interface!$E$25</f>
        <v>0</v>
      </c>
    </row>
    <row r="31" spans="3:24" ht="15">
      <c r="C31" t="s">
        <v>90</v>
      </c>
      <c r="S31" s="132"/>
      <c r="T31" s="132"/>
      <c r="U31" s="132"/>
      <c r="V31" s="132"/>
      <c r="W31" s="132"/>
      <c r="X31" s="132"/>
    </row>
    <row r="32" ht="15">
      <c r="C32" t="s">
        <v>91</v>
      </c>
    </row>
    <row r="36" spans="1:24" ht="15">
      <c r="A36" s="4" t="s">
        <v>11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8" spans="1:4" ht="15">
      <c r="A38" s="12" t="s">
        <v>194</v>
      </c>
      <c r="B38" s="11"/>
      <c r="C38" s="11"/>
      <c r="D38" s="5" t="s">
        <v>17</v>
      </c>
    </row>
    <row r="39" spans="1:5" ht="25.5">
      <c r="A39" s="11"/>
      <c r="B39" s="86" t="s">
        <v>181</v>
      </c>
      <c r="C39" s="10" t="s">
        <v>193</v>
      </c>
      <c r="D39" s="145">
        <f>(Interface!$E$18)*0.45</f>
        <v>0</v>
      </c>
      <c r="E39" t="s">
        <v>1</v>
      </c>
    </row>
    <row r="40" spans="1:8" ht="25.5">
      <c r="A40" s="11"/>
      <c r="B40" s="86" t="s">
        <v>197</v>
      </c>
      <c r="C40" s="147" t="s">
        <v>198</v>
      </c>
      <c r="D40" s="111" t="e">
        <f>(Interface!$E$20/100)*VLOOKUP(Interface!$E$9,Calculs!I21:T26,12,FALSE)</f>
        <v>#N/A</v>
      </c>
      <c r="E40" s="132" t="s">
        <v>1</v>
      </c>
      <c r="H40" s="132"/>
    </row>
    <row r="41" spans="1:8" ht="26.25" thickBot="1">
      <c r="A41" s="11"/>
      <c r="B41" s="86" t="s">
        <v>199</v>
      </c>
      <c r="C41" s="147" t="s">
        <v>200</v>
      </c>
      <c r="D41" s="111">
        <f>(Interface!$E$20/100)*VLOOKUP(Interface!$E$10,Calculs!$I$29:$U$30,13,FALSE)</f>
        <v>0</v>
      </c>
      <c r="E41" s="132" t="s">
        <v>1</v>
      </c>
      <c r="F41" s="132"/>
      <c r="G41" s="132"/>
      <c r="H41" s="132"/>
    </row>
    <row r="42" spans="1:10" ht="18.75" thickBot="1">
      <c r="A42" s="11"/>
      <c r="B42" s="87" t="s">
        <v>195</v>
      </c>
      <c r="C42" s="18" t="s">
        <v>196</v>
      </c>
      <c r="D42" s="112">
        <f>IF(Interface!$E$8=Calculs!$I$16,Calculs!$D$39,IF(AND(Interface!$E$8=Calculs!$I$17,OR(Interface!$E$6=Calculs!$C$4,Interface!$E$6=Calculs!$C$5)),Calculs!$D$40,IF(Interface!$E$8=Calculs!$I$17,Calculs!$D$41,"erreur")))</f>
        <v>0</v>
      </c>
      <c r="E42" s="19" t="s">
        <v>1</v>
      </c>
      <c r="F42" s="132"/>
      <c r="G42" s="132"/>
      <c r="H42" s="132"/>
      <c r="J42" s="110"/>
    </row>
    <row r="43" spans="1:8" ht="15">
      <c r="A43" s="11"/>
      <c r="B43" s="86" t="s">
        <v>182</v>
      </c>
      <c r="C43" s="147" t="s">
        <v>18</v>
      </c>
      <c r="D43" s="111">
        <f>Interface!$E$17*0.45</f>
        <v>0</v>
      </c>
      <c r="E43" s="132" t="s">
        <v>1</v>
      </c>
      <c r="F43" s="132"/>
      <c r="G43" s="132"/>
      <c r="H43" s="132"/>
    </row>
    <row r="44" spans="1:8" ht="27">
      <c r="A44" s="11"/>
      <c r="B44" s="86" t="s">
        <v>201</v>
      </c>
      <c r="C44" s="147" t="s">
        <v>191</v>
      </c>
      <c r="D44" s="111" t="e">
        <f>(1-Interface!$E$20/100)*VLOOKUP(Interface!$E$9,Calculs!I21:T26,12,FALSE)</f>
        <v>#N/A</v>
      </c>
      <c r="E44" s="132" t="s">
        <v>1</v>
      </c>
      <c r="F44" s="132"/>
      <c r="G44" s="132"/>
      <c r="H44" s="132"/>
    </row>
    <row r="45" spans="1:8" ht="27.75" thickBot="1">
      <c r="A45" s="11"/>
      <c r="B45" s="86" t="s">
        <v>202</v>
      </c>
      <c r="C45" s="147" t="s">
        <v>191</v>
      </c>
      <c r="D45" s="111">
        <f>(1-Interface!$E$20/100)*VLOOKUP(Interface!$E$10,Calculs!$I$29:$U$30,13,FALSE)</f>
        <v>0</v>
      </c>
      <c r="E45" s="132" t="s">
        <v>1</v>
      </c>
      <c r="F45" s="132"/>
      <c r="G45" s="132"/>
      <c r="H45" s="132"/>
    </row>
    <row r="46" spans="1:8" ht="18.75" thickBot="1">
      <c r="A46" s="11"/>
      <c r="B46" s="87" t="s">
        <v>203</v>
      </c>
      <c r="C46" s="18" t="s">
        <v>204</v>
      </c>
      <c r="D46" s="112">
        <f>IF(Interface!$E$8=Calculs!$I$16,Calculs!$D$43,IF(AND(Interface!$E$8=Calculs!$I$17,OR(Interface!$E$6=Calculs!$C$4,Interface!$E$6=Calculs!$C$5)),Calculs!$D$44,IF(Interface!$E$8=Calculs!$I$17,Calculs!$D$45,"erreur")))</f>
        <v>0</v>
      </c>
      <c r="E46" s="19" t="s">
        <v>1</v>
      </c>
      <c r="F46" s="132"/>
      <c r="G46" s="132"/>
      <c r="H46" s="132"/>
    </row>
    <row r="47" spans="3:8" ht="15">
      <c r="C47" s="132"/>
      <c r="D47" s="146"/>
      <c r="E47" s="132"/>
      <c r="F47" s="132"/>
      <c r="G47" s="132"/>
      <c r="H47" s="132"/>
    </row>
    <row r="48" spans="1:4" ht="15">
      <c r="A48" s="5" t="s">
        <v>32</v>
      </c>
      <c r="D48" s="9"/>
    </row>
    <row r="49" spans="2:6" ht="15">
      <c r="B49" s="85" t="s">
        <v>120</v>
      </c>
      <c r="C49" t="s">
        <v>124</v>
      </c>
      <c r="D49" s="9">
        <f>(11/12*Interface!$E$27+1/12*Interface!$E$28)*Interface!$E$33*Interface!$E$34</f>
        <v>0</v>
      </c>
      <c r="E49" t="s">
        <v>1</v>
      </c>
      <c r="F49" t="s">
        <v>30</v>
      </c>
    </row>
    <row r="50" spans="2:5" ht="15">
      <c r="B50" s="85" t="s">
        <v>121</v>
      </c>
      <c r="C50" t="s">
        <v>123</v>
      </c>
      <c r="D50" s="111" t="e">
        <f>VLOOKUP(Interface!$E$9,Calculs!I21:Q26,9,FALSE)</f>
        <v>#N/A</v>
      </c>
      <c r="E50" t="s">
        <v>1</v>
      </c>
    </row>
    <row r="51" spans="2:5" ht="15">
      <c r="B51" s="108" t="s">
        <v>122</v>
      </c>
      <c r="C51" t="s">
        <v>98</v>
      </c>
      <c r="D51" s="111">
        <f>IF(Interface!$E$8=Calculs!$I$16,Calculs!$D$49,IF(Interface!$E$8=Calculs!$I$17,Calculs!$D$50,"erreur"))</f>
        <v>0</v>
      </c>
      <c r="E51" t="s">
        <v>1</v>
      </c>
    </row>
    <row r="52" spans="2:6" ht="15">
      <c r="B52" s="85" t="s">
        <v>129</v>
      </c>
      <c r="C52" t="s">
        <v>125</v>
      </c>
      <c r="D52" s="9">
        <f>(1/3*Interface!$E$30+2/3*Interface!$E$31)*Interface!$E$33*Interface!$E$34</f>
        <v>0</v>
      </c>
      <c r="E52" t="s">
        <v>1</v>
      </c>
      <c r="F52" t="s">
        <v>99</v>
      </c>
    </row>
    <row r="53" spans="2:5" ht="15">
      <c r="B53" s="85" t="s">
        <v>128</v>
      </c>
      <c r="C53" t="s">
        <v>126</v>
      </c>
      <c r="D53" s="111">
        <f>VLOOKUP(Interface!$E$10,Calculs!$I$29:$R$30,10,FALSE)</f>
        <v>0</v>
      </c>
      <c r="E53" t="s">
        <v>1</v>
      </c>
    </row>
    <row r="54" spans="2:29" ht="15">
      <c r="B54" s="108" t="s">
        <v>127</v>
      </c>
      <c r="C54" t="s">
        <v>46</v>
      </c>
      <c r="D54" s="111">
        <f>IF(Interface!$E$8=Calculs!$I$16,Calculs!$D$52,IF(Interface!$E$8=Calculs!$I$17,Calculs!$D$53,"erreur"))</f>
        <v>0</v>
      </c>
      <c r="E54" t="s">
        <v>1</v>
      </c>
      <c r="I54" s="57"/>
      <c r="J54" s="57"/>
      <c r="K54" s="204" t="s">
        <v>57</v>
      </c>
      <c r="L54" s="204"/>
      <c r="M54" s="204"/>
      <c r="N54" s="204"/>
      <c r="O54" s="204" t="s">
        <v>58</v>
      </c>
      <c r="P54" s="204"/>
      <c r="Q54" s="204"/>
      <c r="R54" s="204"/>
      <c r="S54" s="204" t="s">
        <v>59</v>
      </c>
      <c r="T54" s="204"/>
      <c r="U54" s="204"/>
      <c r="V54" s="204"/>
      <c r="W54" s="58"/>
      <c r="Y54" s="57"/>
      <c r="Z54" s="57"/>
      <c r="AA54" s="59" t="s">
        <v>57</v>
      </c>
      <c r="AB54" s="59" t="s">
        <v>58</v>
      </c>
      <c r="AC54" s="59" t="s">
        <v>59</v>
      </c>
    </row>
    <row r="55" spans="4:29" ht="15.75" thickBot="1">
      <c r="D55" s="9"/>
      <c r="I55" s="59" t="s">
        <v>60</v>
      </c>
      <c r="J55" s="59" t="s">
        <v>61</v>
      </c>
      <c r="K55" s="204" t="s">
        <v>62</v>
      </c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58"/>
      <c r="Y55" s="59" t="s">
        <v>60</v>
      </c>
      <c r="Z55" s="59" t="s">
        <v>61</v>
      </c>
      <c r="AA55" s="204" t="s">
        <v>62</v>
      </c>
      <c r="AB55" s="204"/>
      <c r="AC55" s="204"/>
    </row>
    <row r="56" spans="2:29" ht="18.75" thickBot="1">
      <c r="B56" s="87" t="s">
        <v>231</v>
      </c>
      <c r="C56" s="18" t="s">
        <v>19</v>
      </c>
      <c r="D56" s="112">
        <f>IF(OR(Interface!$E$6=$C$4,Interface!$E$6=$C$5),Calculs!$D$51,Calculs!$D$54)</f>
        <v>0</v>
      </c>
      <c r="E56" s="19" t="s">
        <v>1</v>
      </c>
      <c r="I56" s="62" t="s">
        <v>63</v>
      </c>
      <c r="J56" s="59" t="s">
        <v>64</v>
      </c>
      <c r="K56" s="204" t="s">
        <v>65</v>
      </c>
      <c r="L56" s="204"/>
      <c r="M56" s="204"/>
      <c r="N56" s="204"/>
      <c r="O56" s="204" t="s">
        <v>66</v>
      </c>
      <c r="P56" s="204"/>
      <c r="Q56" s="204"/>
      <c r="R56" s="204"/>
      <c r="S56" s="204" t="s">
        <v>67</v>
      </c>
      <c r="T56" s="204"/>
      <c r="U56" s="204"/>
      <c r="V56" s="204"/>
      <c r="W56" s="58"/>
      <c r="Y56" s="208" t="s">
        <v>63</v>
      </c>
      <c r="Z56" s="59" t="s">
        <v>64</v>
      </c>
      <c r="AA56" s="208">
        <f>(-0.136*D60)+1</f>
        <v>1</v>
      </c>
      <c r="AB56" s="208">
        <f>(-0.14*D60)+1</f>
        <v>1</v>
      </c>
      <c r="AC56" s="208">
        <f>(-0.13*D60)+1</f>
        <v>1</v>
      </c>
    </row>
    <row r="57" spans="4:29" ht="15">
      <c r="D57" s="9"/>
      <c r="I57" s="59" t="s">
        <v>60</v>
      </c>
      <c r="J57" s="204" t="s">
        <v>61</v>
      </c>
      <c r="K57" s="220" t="s">
        <v>207</v>
      </c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58"/>
      <c r="Y57" s="209"/>
      <c r="Z57" s="72" t="s">
        <v>87</v>
      </c>
      <c r="AA57" s="209"/>
      <c r="AB57" s="209"/>
      <c r="AC57" s="209"/>
    </row>
    <row r="58" spans="1:29" ht="15">
      <c r="A58" s="5" t="s">
        <v>33</v>
      </c>
      <c r="D58" s="9"/>
      <c r="I58" s="204" t="s">
        <v>68</v>
      </c>
      <c r="J58" s="204"/>
      <c r="K58" s="59" t="s">
        <v>69</v>
      </c>
      <c r="L58" s="59" t="s">
        <v>70</v>
      </c>
      <c r="M58" s="59" t="s">
        <v>71</v>
      </c>
      <c r="N58" s="59" t="s">
        <v>72</v>
      </c>
      <c r="O58" s="59" t="s">
        <v>69</v>
      </c>
      <c r="P58" s="59" t="s">
        <v>70</v>
      </c>
      <c r="Q58" s="59" t="s">
        <v>71</v>
      </c>
      <c r="R58" s="59" t="s">
        <v>72</v>
      </c>
      <c r="S58" s="59" t="s">
        <v>69</v>
      </c>
      <c r="T58" s="59" t="s">
        <v>70</v>
      </c>
      <c r="U58" s="59" t="s">
        <v>71</v>
      </c>
      <c r="V58" s="59" t="s">
        <v>72</v>
      </c>
      <c r="W58" s="58"/>
      <c r="Y58" s="204" t="s">
        <v>68</v>
      </c>
      <c r="Z58" s="59" t="s">
        <v>64</v>
      </c>
      <c r="AA58" s="107">
        <f>K59*POWER(D60,3)+L59*POWER(D60,2)+M59*POWER(D60,1)+N59</f>
        <v>0.34012</v>
      </c>
      <c r="AB58" s="59">
        <f>O59*POWER(D60,3)+P59*POWER(D60,2)+Q59*POWER(D60,1)+R59</f>
        <v>0.34952</v>
      </c>
      <c r="AC58" s="59">
        <f>S59*POWER(D60,3)+T59*POWER(D60,2)+U59*POWER(D60,1)+V59</f>
        <v>0.3795</v>
      </c>
    </row>
    <row r="59" spans="1:29" ht="18.75" thickBot="1">
      <c r="A59" s="5"/>
      <c r="B59" s="85" t="s">
        <v>232</v>
      </c>
      <c r="C59" t="s">
        <v>100</v>
      </c>
      <c r="D59" s="9">
        <f>Interface!$E$24*Interface!$E$25</f>
        <v>0</v>
      </c>
      <c r="E59" s="13" t="s">
        <v>1</v>
      </c>
      <c r="I59" s="204"/>
      <c r="J59" s="59" t="s">
        <v>64</v>
      </c>
      <c r="K59" s="59">
        <v>1.3337E-07</v>
      </c>
      <c r="L59" s="59">
        <v>0.00010162</v>
      </c>
      <c r="M59" s="59">
        <v>-0.010251</v>
      </c>
      <c r="N59" s="59">
        <v>0.34012</v>
      </c>
      <c r="O59" s="59">
        <v>-5.4152E-07</v>
      </c>
      <c r="P59" s="59">
        <v>0.00016083</v>
      </c>
      <c r="Q59" s="59">
        <v>-0.011833</v>
      </c>
      <c r="R59" s="59">
        <v>0.34952</v>
      </c>
      <c r="S59" s="59">
        <v>3.4949E-06</v>
      </c>
      <c r="T59" s="59">
        <v>-0.00017976</v>
      </c>
      <c r="U59" s="59">
        <v>-0.0040456</v>
      </c>
      <c r="V59" s="59">
        <v>0.3795</v>
      </c>
      <c r="W59" s="58"/>
      <c r="Y59" s="204"/>
      <c r="Z59" s="72" t="s">
        <v>87</v>
      </c>
      <c r="AA59" s="72">
        <f>K60*POWER(D60,3)+L60*POWER(D60,2)+M60*POWER(D60,1)+N60</f>
        <v>0.36302</v>
      </c>
      <c r="AB59" s="72">
        <f>O60*POWER(D60,3)+P60*POWER(D60,2)+Q60*POWER(D60,1)+R60</f>
        <v>0.3655</v>
      </c>
      <c r="AC59" s="72">
        <f>S60*POWER(D60,3)+T60*POWER(D60,2)+U60*POWER(D60,1)+V60</f>
        <v>0.39948</v>
      </c>
    </row>
    <row r="60" spans="2:26" ht="18.75" thickBot="1">
      <c r="B60" s="148" t="s">
        <v>230</v>
      </c>
      <c r="C60" s="149" t="s">
        <v>31</v>
      </c>
      <c r="D60" s="230">
        <f>IF((($D$43+$D$39+$D$59)*Interface!$E$22)=0,0,$D$56*$D$39/(($D$43+$D$39+$D$59)*Interface!$E$22))*IF(AND(Interface!E6=Calculs!C5,OR(Interface!E9=Calculs!I27,Interface!E9=Calculs!I28)),1.03,1)</f>
        <v>0</v>
      </c>
      <c r="E60" s="150" t="s">
        <v>1</v>
      </c>
      <c r="F60">
        <f>IF(AND(D60&gt;=0,D60&lt;=5),0,IF(AND(D60&gt;5,D60&lt;=40),1,"Q &gt; 40"))</f>
        <v>0</v>
      </c>
      <c r="I60" s="204"/>
      <c r="J60" s="107" t="s">
        <v>87</v>
      </c>
      <c r="K60" s="72">
        <v>-2.3411E-06</v>
      </c>
      <c r="L60" s="72">
        <v>0.00031017</v>
      </c>
      <c r="M60" s="72">
        <v>-0.015573</v>
      </c>
      <c r="N60" s="72">
        <v>0.36302</v>
      </c>
      <c r="O60" s="72">
        <v>-2.9405E-06</v>
      </c>
      <c r="P60" s="72">
        <v>0.00036034</v>
      </c>
      <c r="Q60" s="72">
        <v>-0.016804</v>
      </c>
      <c r="R60" s="72">
        <v>0.3655</v>
      </c>
      <c r="S60" s="72">
        <v>9.0357E-07</v>
      </c>
      <c r="T60" s="72">
        <v>4.6869E-05</v>
      </c>
      <c r="U60" s="72">
        <v>-0.010019</v>
      </c>
      <c r="V60" s="72">
        <v>0.39948</v>
      </c>
      <c r="W60" s="58"/>
      <c r="Y60" s="60"/>
      <c r="Z60" s="11"/>
    </row>
    <row r="61" spans="4:23" ht="15">
      <c r="D61" s="9"/>
      <c r="W61" s="58"/>
    </row>
    <row r="62" spans="1:23" ht="15">
      <c r="A62" s="5" t="s">
        <v>26</v>
      </c>
      <c r="D62" s="9"/>
      <c r="W62" s="58"/>
    </row>
    <row r="63" spans="2:30" ht="15.75" thickBot="1">
      <c r="B63" s="85" t="s">
        <v>27</v>
      </c>
      <c r="C63" t="s">
        <v>20</v>
      </c>
      <c r="D63" s="78">
        <f>IF(Interface!E39=Calculs!$C$24,1,IF(Interface!E39=Calculs!$C$25,2,IF(Interface!E39=Calculs!$C$26,3)))</f>
        <v>2</v>
      </c>
      <c r="E63" s="78">
        <f>IF(Interface!F39=Calculs!$C$24,1,IF(Interface!F39=Calculs!$C$25,2,IF(Interface!F39=Calculs!$C$26,3)))</f>
        <v>1</v>
      </c>
      <c r="F63" s="78">
        <f>IF(Interface!J39=Calculs!$C$24,1,IF(Interface!J39=Calculs!$C$25,2,IF(Interface!J39=Calculs!$C$26,3)))</f>
        <v>3</v>
      </c>
      <c r="G63" s="97" t="s">
        <v>2</v>
      </c>
      <c r="W63" s="58"/>
      <c r="Y63" s="57"/>
      <c r="Z63" s="57"/>
      <c r="AA63" s="57"/>
      <c r="AB63" s="59" t="s">
        <v>57</v>
      </c>
      <c r="AC63" s="59" t="s">
        <v>58</v>
      </c>
      <c r="AD63" s="59" t="s">
        <v>59</v>
      </c>
    </row>
    <row r="64" spans="2:30" ht="22.5">
      <c r="B64" s="104" t="s">
        <v>213</v>
      </c>
      <c r="C64" s="20" t="s">
        <v>93</v>
      </c>
      <c r="D64" s="76">
        <f>IF(AND($F$60=0,D$63=1),$AA$56,IF(AND($F$60=0,D$63=2),$AB$56,IF(AND($F$60=0,D$63=3),$AC$56,IF(AND($F$60=1,D$63=1),$AA$58,IF(AND($F$60=1,D$63=2),$AB$58,IF(AND($F$60=1,D$63=3),$AC$58))))))</f>
        <v>1</v>
      </c>
      <c r="E64" s="76">
        <f>IF(AND($F$60=0,E$63=1),$AA$56,IF(AND($F$60=0,E$63=2),$AB$56,IF(AND($F$60=0,E$63=3),$AC$56,IF(AND($F$60=1,E$63=1),$AA$58,IF(AND($F$60=1,E$63=2),$AB$58,IF(AND($F$60=1,E$63=3),$AC$58))))))</f>
        <v>1</v>
      </c>
      <c r="F64" s="76">
        <f>IF(AND($F$60=0,F$63=1),$AA$56,IF(AND($F$60=0,F$63=2),$AB$56,IF(AND($F$60=0,F$63=3),$AC$56,IF(AND($F$60=1,F$63=1),$AA$58,IF(AND($F$60=1,F$63=2),$AB$58,IF(AND($F$60=1,F$63=3),$AC$58))))))</f>
        <v>1</v>
      </c>
      <c r="G64" s="93" t="s">
        <v>2</v>
      </c>
      <c r="W64" s="58"/>
      <c r="Y64" s="61" t="s">
        <v>60</v>
      </c>
      <c r="Z64" s="61" t="s">
        <v>73</v>
      </c>
      <c r="AA64" s="61" t="s">
        <v>61</v>
      </c>
      <c r="AB64" s="205" t="s">
        <v>80</v>
      </c>
      <c r="AC64" s="206"/>
      <c r="AD64" s="207"/>
    </row>
    <row r="65" spans="2:30" ht="14.25" customHeight="1">
      <c r="B65" s="105" t="s">
        <v>228</v>
      </c>
      <c r="C65" s="83" t="s">
        <v>94</v>
      </c>
      <c r="D65" s="84">
        <f>IF(AND($F$60=0,D$63=1),$AA$56,IF(AND($F$60=0,D$63=2),$AB$56,IF(AND($F$60=0,D$63=3),$AC$56,IF(AND($F$60=1,D$63=1),$AA$59,IF(AND($F$60=1,D$63=2),$AB$59,IF(AND($F$60=1,D$63=3),$AC$59))))))</f>
        <v>1</v>
      </c>
      <c r="E65" s="84">
        <f>IF(AND($F$60=0,E$63=1),$AA$56,IF(AND($F$60=0,E$63=2),$AB$56,IF(AND($F$60=0,E$63=3),$AC$56,IF(AND($F$60=1,E$63=1),$AA$59,IF(AND($F$60=1,E$63=2),$AB$59,IF(AND($F$60=1,E$63=3),$AC$59))))))</f>
        <v>1</v>
      </c>
      <c r="F65" s="84">
        <f>IF(AND($F$60=0,F$63=1),$AA$56,IF(AND($F$60=0,F$63=2),$AB$56,IF(AND($F$60=0,F$63=3),$AC$56,IF(AND($F$60=1,F$63=1),$AA$59,IF(AND($F$60=1,F$63=2),$AB$59,IF(AND($F$60=1,F$63=3),$AC$59))))))</f>
        <v>1</v>
      </c>
      <c r="G65" s="94" t="s">
        <v>2</v>
      </c>
      <c r="I65" s="57"/>
      <c r="J65" s="57"/>
      <c r="K65" s="57"/>
      <c r="L65" s="204" t="s">
        <v>57</v>
      </c>
      <c r="M65" s="204"/>
      <c r="N65" s="204"/>
      <c r="O65" s="204"/>
      <c r="P65" s="204" t="s">
        <v>58</v>
      </c>
      <c r="Q65" s="204"/>
      <c r="R65" s="204"/>
      <c r="S65" s="204"/>
      <c r="T65" s="204" t="s">
        <v>59</v>
      </c>
      <c r="U65" s="204"/>
      <c r="V65" s="204"/>
      <c r="W65" s="204"/>
      <c r="Y65" s="204" t="s">
        <v>63</v>
      </c>
      <c r="Z65" s="59" t="s">
        <v>74</v>
      </c>
      <c r="AA65" s="204" t="s">
        <v>64</v>
      </c>
      <c r="AB65" s="204">
        <f>0.0156*$D$60</f>
        <v>0</v>
      </c>
      <c r="AC65" s="204">
        <f>0.0165*$D$60</f>
        <v>0</v>
      </c>
      <c r="AD65" s="204">
        <f>0.0127*$D$60</f>
        <v>0</v>
      </c>
    </row>
    <row r="66" spans="2:30" ht="16.5" customHeight="1">
      <c r="B66" s="88" t="s">
        <v>229</v>
      </c>
      <c r="C66" s="83" t="s">
        <v>95</v>
      </c>
      <c r="D66" s="84">
        <f>IF(Interface!E$41=Calculs!C$31,(Calculs!D$64+Calculs!D$65)/2,D$64)</f>
        <v>1</v>
      </c>
      <c r="E66" s="84">
        <f>IF(Interface!F$41=Calculs!D$31,(Calculs!E$64+Calculs!E$65)/2,E$64)</f>
        <v>1</v>
      </c>
      <c r="F66" s="84">
        <f>IF(Interface!J$41=Calculs!E$31,(Calculs!F$64+Calculs!F$65)/2,F$64)</f>
        <v>1</v>
      </c>
      <c r="G66" s="94" t="s">
        <v>2</v>
      </c>
      <c r="I66" s="204" t="s">
        <v>60</v>
      </c>
      <c r="J66" s="204" t="s">
        <v>73</v>
      </c>
      <c r="K66" s="204" t="s">
        <v>61</v>
      </c>
      <c r="L66" s="205" t="s">
        <v>76</v>
      </c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7"/>
      <c r="Y66" s="204"/>
      <c r="Z66" s="59" t="s">
        <v>75</v>
      </c>
      <c r="AA66" s="204"/>
      <c r="AB66" s="204"/>
      <c r="AC66" s="204"/>
      <c r="AD66" s="204"/>
    </row>
    <row r="67" spans="2:30" ht="22.5">
      <c r="B67" s="88" t="s">
        <v>96</v>
      </c>
      <c r="C67" s="83" t="s">
        <v>214</v>
      </c>
      <c r="D67" s="84">
        <f aca="true" t="shared" si="0" ref="D67:F68">IF(AND($F$60=0,D$63=1),$AB$65,IF(AND($F$60=0,D$63=2),$AC$65,IF(AND($F$60=0,D$63=3),$AD$65,IF(AND($F$60=1,D$63=1),$AB$67,IF(AND($F$60=1,D$63=2),$AC$67,IF(AND($F$60=1,D$63=3),$AD$67))))))</f>
        <v>0</v>
      </c>
      <c r="E67" s="84">
        <f t="shared" si="0"/>
        <v>0</v>
      </c>
      <c r="F67" s="84">
        <f t="shared" si="0"/>
        <v>0</v>
      </c>
      <c r="G67" s="95" t="s">
        <v>2</v>
      </c>
      <c r="I67" s="204"/>
      <c r="J67" s="204"/>
      <c r="K67" s="204"/>
      <c r="L67" s="210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2"/>
      <c r="Y67" s="204" t="s">
        <v>68</v>
      </c>
      <c r="Z67" s="59" t="s">
        <v>74</v>
      </c>
      <c r="AA67" s="204" t="s">
        <v>64</v>
      </c>
      <c r="AB67" s="213">
        <f>L72*POWER($D$60,2)+M72*$D$60+O72</f>
        <v>0.068442</v>
      </c>
      <c r="AC67" s="213">
        <f>P72*POWER($D$60,2)+Q72*$D$60+S72</f>
        <v>0.073688</v>
      </c>
      <c r="AD67" s="213">
        <f>T72*POWER($D$60,2)+U72*$D$60+W72</f>
        <v>0.050962</v>
      </c>
    </row>
    <row r="68" spans="2:30" ht="22.5">
      <c r="B68" s="105" t="s">
        <v>102</v>
      </c>
      <c r="C68" s="83" t="s">
        <v>104</v>
      </c>
      <c r="D68" s="84">
        <f t="shared" si="0"/>
        <v>0</v>
      </c>
      <c r="E68" s="84">
        <f t="shared" si="0"/>
        <v>0</v>
      </c>
      <c r="F68" s="84">
        <f t="shared" si="0"/>
        <v>0</v>
      </c>
      <c r="G68" s="94" t="s">
        <v>2</v>
      </c>
      <c r="I68" s="204" t="s">
        <v>63</v>
      </c>
      <c r="J68" s="59" t="s">
        <v>74</v>
      </c>
      <c r="K68" s="208" t="s">
        <v>64</v>
      </c>
      <c r="L68" s="205" t="s">
        <v>77</v>
      </c>
      <c r="M68" s="206"/>
      <c r="N68" s="206"/>
      <c r="O68" s="207"/>
      <c r="P68" s="205" t="s">
        <v>78</v>
      </c>
      <c r="Q68" s="206"/>
      <c r="R68" s="206"/>
      <c r="S68" s="207"/>
      <c r="T68" s="205" t="s">
        <v>79</v>
      </c>
      <c r="U68" s="206"/>
      <c r="V68" s="206"/>
      <c r="W68" s="207"/>
      <c r="Y68" s="204"/>
      <c r="Z68" s="59" t="s">
        <v>75</v>
      </c>
      <c r="AA68" s="204"/>
      <c r="AB68" s="213"/>
      <c r="AC68" s="213"/>
      <c r="AD68" s="213"/>
    </row>
    <row r="69" spans="2:30" ht="22.5">
      <c r="B69" s="105" t="s">
        <v>103</v>
      </c>
      <c r="C69" s="83" t="s">
        <v>105</v>
      </c>
      <c r="D69" s="84">
        <f>IF(D$63=1,$AB$70,IF(D$63=2,$AC$70,IF(D$63=3,$AD$70,"erreur")))</f>
        <v>0</v>
      </c>
      <c r="E69" s="84">
        <f>IF(E$63=1,$AB$70,IF(E$63=2,$AC$70,IF(E$63=3,$AD$70,"erreur")))</f>
        <v>0</v>
      </c>
      <c r="F69" s="84">
        <f>IF(F$63=1,$AB$70,IF(F$63=2,$AC$70,IF(F$63=3,$AD$70,"erreur")))</f>
        <v>0</v>
      </c>
      <c r="G69" s="94"/>
      <c r="H69" t="s">
        <v>101</v>
      </c>
      <c r="I69" s="204"/>
      <c r="J69" s="59" t="s">
        <v>75</v>
      </c>
      <c r="K69" s="209"/>
      <c r="L69" s="210"/>
      <c r="M69" s="211"/>
      <c r="N69" s="211"/>
      <c r="O69" s="212"/>
      <c r="P69" s="210"/>
      <c r="Q69" s="211"/>
      <c r="R69" s="211"/>
      <c r="S69" s="212"/>
      <c r="T69" s="210"/>
      <c r="U69" s="211"/>
      <c r="V69" s="211"/>
      <c r="W69" s="212"/>
      <c r="Y69" s="204" t="s">
        <v>85</v>
      </c>
      <c r="Z69" s="72" t="s">
        <v>74</v>
      </c>
      <c r="AA69" s="221" t="s">
        <v>87</v>
      </c>
      <c r="AB69" s="73">
        <f>L74*POWER($D$60,2)+M74*$D$60+O74</f>
        <v>0</v>
      </c>
      <c r="AC69" s="73">
        <f>P74*POWER($D$60,2)+Q74*$D$60+S74</f>
        <v>0</v>
      </c>
      <c r="AD69" s="73">
        <f>T74*POWER($D$60,2)+U74*$D$60+W74</f>
        <v>0</v>
      </c>
    </row>
    <row r="70" spans="2:30" ht="15.75" thickBot="1">
      <c r="B70" s="89" t="s">
        <v>97</v>
      </c>
      <c r="C70" s="22" t="s">
        <v>106</v>
      </c>
      <c r="D70" s="77">
        <f>IF(Interface!E$41=$C$31,D$69,IF(Interface!E$41=$C$32,D$68,"erreur"))</f>
        <v>0</v>
      </c>
      <c r="E70" s="77">
        <f>IF(Interface!F$41=$C$31,E$69,IF(Interface!F$41=$C$32,E$68,"erreur"))</f>
        <v>0</v>
      </c>
      <c r="F70" s="77">
        <f>IF(Interface!J$41=$C$31,F$69,IF(Interface!J$41=$C$32,F$68,"erreur"))</f>
        <v>0</v>
      </c>
      <c r="G70" s="96" t="s">
        <v>2</v>
      </c>
      <c r="I70" s="214"/>
      <c r="J70" s="215"/>
      <c r="K70" s="216"/>
      <c r="L70" s="220" t="s">
        <v>208</v>
      </c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Y70" s="204"/>
      <c r="Z70" s="72" t="s">
        <v>75</v>
      </c>
      <c r="AA70" s="221"/>
      <c r="AB70" s="73">
        <f>L75*POWER($D$60,2)+M75*$D$60+O75</f>
        <v>0</v>
      </c>
      <c r="AC70" s="73">
        <f>P75*POWER($D$60,2)+Q75*$D$60+S75</f>
        <v>0</v>
      </c>
      <c r="AD70" s="73">
        <f>T75*POWER($D$60,2)+U75*$D$60+W75</f>
        <v>0</v>
      </c>
    </row>
    <row r="71" spans="9:23" ht="15">
      <c r="I71" s="217"/>
      <c r="J71" s="218"/>
      <c r="K71" s="219"/>
      <c r="L71" s="59" t="s">
        <v>69</v>
      </c>
      <c r="M71" s="59" t="s">
        <v>70</v>
      </c>
      <c r="N71" s="57"/>
      <c r="O71" s="59" t="s">
        <v>72</v>
      </c>
      <c r="P71" s="59" t="s">
        <v>69</v>
      </c>
      <c r="Q71" s="59" t="s">
        <v>70</v>
      </c>
      <c r="R71" s="57"/>
      <c r="S71" s="59" t="s">
        <v>72</v>
      </c>
      <c r="T71" s="59" t="s">
        <v>69</v>
      </c>
      <c r="U71" s="59" t="s">
        <v>70</v>
      </c>
      <c r="V71" s="57"/>
      <c r="W71" s="59" t="s">
        <v>72</v>
      </c>
    </row>
    <row r="72" spans="9:23" ht="29.25" customHeight="1">
      <c r="I72" s="208" t="s">
        <v>68</v>
      </c>
      <c r="J72" s="59" t="s">
        <v>74</v>
      </c>
      <c r="K72" s="208" t="s">
        <v>64</v>
      </c>
      <c r="L72" s="222">
        <v>-6.3393E-05</v>
      </c>
      <c r="M72" s="222">
        <v>0.0048479</v>
      </c>
      <c r="N72" s="63"/>
      <c r="O72" s="222">
        <v>0.068442</v>
      </c>
      <c r="P72" s="222">
        <v>-6.3393E-05</v>
      </c>
      <c r="Q72" s="222">
        <v>0.0048579</v>
      </c>
      <c r="R72" s="63"/>
      <c r="S72" s="222">
        <v>0.073688</v>
      </c>
      <c r="T72" s="222">
        <v>-6.3393E-05</v>
      </c>
      <c r="U72" s="222">
        <v>0.0048479</v>
      </c>
      <c r="V72" s="63"/>
      <c r="W72" s="222">
        <v>0.050962</v>
      </c>
    </row>
    <row r="73" spans="1:23" ht="15.75" thickBot="1">
      <c r="A73" s="5" t="s">
        <v>28</v>
      </c>
      <c r="I73" s="209"/>
      <c r="J73" s="59" t="s">
        <v>75</v>
      </c>
      <c r="K73" s="209"/>
      <c r="L73" s="223"/>
      <c r="M73" s="223"/>
      <c r="N73" s="63"/>
      <c r="O73" s="223"/>
      <c r="P73" s="223"/>
      <c r="Q73" s="223"/>
      <c r="R73" s="63"/>
      <c r="S73" s="223"/>
      <c r="T73" s="223"/>
      <c r="U73" s="223"/>
      <c r="V73" s="63"/>
      <c r="W73" s="223"/>
    </row>
    <row r="74" spans="2:23" ht="15">
      <c r="B74" s="90" t="s">
        <v>48</v>
      </c>
      <c r="C74" s="23" t="s">
        <v>49</v>
      </c>
      <c r="D74" s="74" t="e">
        <f>Interface!E$42-((0.34*$D$60*D66)/Interface!E$40)</f>
        <v>#DIV/0!</v>
      </c>
      <c r="E74" s="74" t="e">
        <f>Interface!F$42-((0.34*$D$60*E66)/Interface!F$40)</f>
        <v>#DIV/0!</v>
      </c>
      <c r="F74" s="74" t="e">
        <f>Interface!J$42-((0.34*$D$60*F66)/Interface!J$40)</f>
        <v>#DIV/0!</v>
      </c>
      <c r="G74" s="21" t="s">
        <v>29</v>
      </c>
      <c r="I74" s="224" t="s">
        <v>86</v>
      </c>
      <c r="J74" s="72" t="s">
        <v>74</v>
      </c>
      <c r="K74" s="224" t="s">
        <v>87</v>
      </c>
      <c r="L74" s="79">
        <v>-1.3267E-05</v>
      </c>
      <c r="M74" s="79">
        <v>0.00113</v>
      </c>
      <c r="N74" s="63"/>
      <c r="O74" s="79">
        <v>0</v>
      </c>
      <c r="P74" s="79">
        <v>-1.4213E-05</v>
      </c>
      <c r="Q74" s="79">
        <v>0.0011798</v>
      </c>
      <c r="R74" s="63"/>
      <c r="S74" s="79">
        <v>0</v>
      </c>
      <c r="T74" s="79">
        <v>-6.2505E-06</v>
      </c>
      <c r="U74" s="79">
        <v>0.00074717</v>
      </c>
      <c r="V74" s="63"/>
      <c r="W74" s="79">
        <v>0</v>
      </c>
    </row>
    <row r="75" spans="2:23" ht="15">
      <c r="B75" s="91" t="s">
        <v>47</v>
      </c>
      <c r="C75" s="24" t="s">
        <v>50</v>
      </c>
      <c r="D75" s="75">
        <f>Interface!E$43+Calculs!D$67</f>
        <v>0</v>
      </c>
      <c r="E75" s="75">
        <f>Interface!F$43+Calculs!E$67</f>
        <v>0</v>
      </c>
      <c r="F75" s="75">
        <f>Interface!J$43+Calculs!F$67</f>
        <v>0</v>
      </c>
      <c r="G75" s="95" t="s">
        <v>2</v>
      </c>
      <c r="I75" s="225"/>
      <c r="J75" s="72" t="s">
        <v>75</v>
      </c>
      <c r="K75" s="225"/>
      <c r="L75" s="79">
        <v>-2.3044E-05</v>
      </c>
      <c r="M75" s="79">
        <v>0.0018333</v>
      </c>
      <c r="N75" s="63"/>
      <c r="O75" s="79">
        <v>0</v>
      </c>
      <c r="P75" s="79">
        <v>-2.4528E-05</v>
      </c>
      <c r="Q75" s="79">
        <v>0.0019086</v>
      </c>
      <c r="R75" s="63"/>
      <c r="S75" s="79">
        <v>0</v>
      </c>
      <c r="T75" s="79">
        <v>-1.1551E-05</v>
      </c>
      <c r="U75" s="79">
        <v>0.0012328</v>
      </c>
      <c r="V75" s="63"/>
      <c r="W75" s="79">
        <v>0</v>
      </c>
    </row>
    <row r="76" spans="2:7" ht="15.75" thickBot="1">
      <c r="B76" s="92" t="s">
        <v>115</v>
      </c>
      <c r="C76" s="25" t="s">
        <v>81</v>
      </c>
      <c r="D76" s="106">
        <f>Interface!E$44+D$70</f>
        <v>0</v>
      </c>
      <c r="E76" s="106">
        <f>Interface!F$44+E$70</f>
        <v>0</v>
      </c>
      <c r="F76" s="106">
        <f>Interface!J$44+F$70</f>
        <v>0</v>
      </c>
      <c r="G76" s="98" t="s">
        <v>2</v>
      </c>
    </row>
    <row r="85" ht="15">
      <c r="F85" s="17"/>
    </row>
  </sheetData>
  <sheetProtection/>
  <mergeCells count="67">
    <mergeCell ref="I28:L28"/>
    <mergeCell ref="I30:L30"/>
    <mergeCell ref="I29:L29"/>
    <mergeCell ref="I21:L21"/>
    <mergeCell ref="I20:L20"/>
    <mergeCell ref="I26:L26"/>
    <mergeCell ref="I25:L25"/>
    <mergeCell ref="I24:L24"/>
    <mergeCell ref="I23:L23"/>
    <mergeCell ref="I22:L22"/>
    <mergeCell ref="I27:L27"/>
    <mergeCell ref="Y56:Y57"/>
    <mergeCell ref="Y58:Y59"/>
    <mergeCell ref="Y69:Y70"/>
    <mergeCell ref="I74:I75"/>
    <mergeCell ref="K74:K75"/>
    <mergeCell ref="W72:W73"/>
    <mergeCell ref="I72:I73"/>
    <mergeCell ref="K72:K73"/>
    <mergeCell ref="L72:L73"/>
    <mergeCell ref="M72:M73"/>
    <mergeCell ref="P72:P73"/>
    <mergeCell ref="Q72:Q73"/>
    <mergeCell ref="S72:S73"/>
    <mergeCell ref="T72:T73"/>
    <mergeCell ref="U72:U73"/>
    <mergeCell ref="I58:I60"/>
    <mergeCell ref="O72:O73"/>
    <mergeCell ref="J57:J58"/>
    <mergeCell ref="K57:V57"/>
    <mergeCell ref="L65:O65"/>
    <mergeCell ref="J66:J67"/>
    <mergeCell ref="K66:K67"/>
    <mergeCell ref="AA67:AA68"/>
    <mergeCell ref="AB67:AB68"/>
    <mergeCell ref="Y67:Y68"/>
    <mergeCell ref="AA69:AA70"/>
    <mergeCell ref="AC67:AC68"/>
    <mergeCell ref="AD67:AD68"/>
    <mergeCell ref="I70:K71"/>
    <mergeCell ref="L70:W70"/>
    <mergeCell ref="I68:I69"/>
    <mergeCell ref="K68:K69"/>
    <mergeCell ref="L68:O69"/>
    <mergeCell ref="P68:S69"/>
    <mergeCell ref="T68:W69"/>
    <mergeCell ref="I66:I67"/>
    <mergeCell ref="T65:W65"/>
    <mergeCell ref="L66:W67"/>
    <mergeCell ref="K54:N54"/>
    <mergeCell ref="O54:R54"/>
    <mergeCell ref="S54:V54"/>
    <mergeCell ref="K55:V55"/>
    <mergeCell ref="K56:N56"/>
    <mergeCell ref="O56:R56"/>
    <mergeCell ref="S56:V56"/>
    <mergeCell ref="P65:S65"/>
    <mergeCell ref="AA55:AC55"/>
    <mergeCell ref="AB64:AD64"/>
    <mergeCell ref="Y65:Y66"/>
    <mergeCell ref="AA65:AA66"/>
    <mergeCell ref="AB65:AB66"/>
    <mergeCell ref="AC65:AC66"/>
    <mergeCell ref="AD65:AD66"/>
    <mergeCell ref="AC56:AC57"/>
    <mergeCell ref="AB56:AB57"/>
    <mergeCell ref="AA56:AA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2015-10-09T10:52:59Z</dcterms:modified>
  <cp:category/>
  <cp:version/>
  <cp:contentType/>
  <cp:contentStatus/>
</cp:coreProperties>
</file>