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rv40-morvan\DLA\02.Affaires_DLA\02.GBA\03.PER\2.RT\C16LA0055-01_Anim_organismes_formation\02.Donnees_travail\CR_reunions\20170601_webex\"/>
    </mc:Choice>
  </mc:AlternateContent>
  <bookViews>
    <workbookView xWindow="0" yWindow="0" windowWidth="27315" windowHeight="20475" tabRatio="669" activeTab="1"/>
  </bookViews>
  <sheets>
    <sheet name="Help" sheetId="4" r:id="rId1"/>
    <sheet name="TEST_qenv_CL_T°" sheetId="1" r:id="rId2"/>
    <sheet name="TEST_qenv_CL_densite" sheetId="5" r:id="rId3"/>
  </sheets>
  <definedNames>
    <definedName name="_xlnm.Print_Area" localSheetId="1">TEST_qenv_CL_T°!$B$1:$N$85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5" i="1" l="1"/>
  <c r="E64" i="1"/>
  <c r="E63" i="1"/>
  <c r="E62" i="1"/>
  <c r="E61" i="1"/>
  <c r="E60" i="1"/>
  <c r="E59" i="1"/>
  <c r="E65" i="5"/>
  <c r="E64" i="5"/>
  <c r="E63" i="5"/>
  <c r="E62" i="5"/>
  <c r="E61" i="5"/>
  <c r="E60" i="5"/>
  <c r="E59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E13" i="5"/>
  <c r="E5" i="5"/>
  <c r="E4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4" i="5"/>
  <c r="C13" i="5"/>
  <c r="C11" i="5"/>
  <c r="C10" i="5"/>
  <c r="C9" i="5"/>
  <c r="C8" i="5"/>
  <c r="C7" i="5"/>
  <c r="C5" i="5"/>
  <c r="C4" i="5"/>
  <c r="C3" i="5"/>
  <c r="E10" i="5"/>
  <c r="D53" i="5"/>
  <c r="E11" i="5"/>
  <c r="F53" i="5"/>
  <c r="J53" i="5"/>
  <c r="D54" i="5"/>
  <c r="F54" i="5"/>
  <c r="J54" i="5"/>
  <c r="D55" i="5"/>
  <c r="F55" i="5"/>
  <c r="J55" i="5"/>
  <c r="D56" i="5"/>
  <c r="F56" i="5"/>
  <c r="J56" i="5"/>
  <c r="D57" i="5"/>
  <c r="F57" i="5"/>
  <c r="J57" i="5"/>
  <c r="D58" i="5"/>
  <c r="F58" i="5"/>
  <c r="J58" i="5"/>
  <c r="D59" i="5"/>
  <c r="F59" i="5"/>
  <c r="J59" i="5"/>
  <c r="D60" i="5"/>
  <c r="F60" i="5"/>
  <c r="J60" i="5"/>
  <c r="D61" i="5"/>
  <c r="F61" i="5"/>
  <c r="J61" i="5"/>
  <c r="D62" i="5"/>
  <c r="F62" i="5"/>
  <c r="J62" i="5"/>
  <c r="D63" i="5"/>
  <c r="F63" i="5"/>
  <c r="J63" i="5"/>
  <c r="D64" i="5"/>
  <c r="F64" i="5"/>
  <c r="J64" i="5"/>
  <c r="D65" i="5"/>
  <c r="F65" i="5"/>
  <c r="J65" i="5"/>
  <c r="J67" i="5"/>
  <c r="K53" i="5"/>
  <c r="C49" i="5"/>
  <c r="E49" i="5"/>
  <c r="D50" i="5"/>
  <c r="E53" i="5"/>
  <c r="G53" i="5"/>
  <c r="E54" i="5"/>
  <c r="G54" i="5"/>
  <c r="E55" i="5"/>
  <c r="G55" i="5"/>
  <c r="E56" i="5"/>
  <c r="G56" i="5"/>
  <c r="E57" i="5"/>
  <c r="G57" i="5"/>
  <c r="E58" i="5"/>
  <c r="G58" i="5"/>
  <c r="G59" i="5"/>
  <c r="G60" i="5"/>
  <c r="G61" i="5"/>
  <c r="G62" i="5"/>
  <c r="G63" i="5"/>
  <c r="G64" i="5"/>
  <c r="G65" i="5"/>
  <c r="G67" i="5"/>
  <c r="H53" i="5"/>
  <c r="M53" i="5"/>
  <c r="K54" i="5"/>
  <c r="H54" i="5"/>
  <c r="M54" i="5"/>
  <c r="K55" i="5"/>
  <c r="H55" i="5"/>
  <c r="M55" i="5"/>
  <c r="K56" i="5"/>
  <c r="H56" i="5"/>
  <c r="M56" i="5"/>
  <c r="K57" i="5"/>
  <c r="H57" i="5"/>
  <c r="M57" i="5"/>
  <c r="K58" i="5"/>
  <c r="H58" i="5"/>
  <c r="M58" i="5"/>
  <c r="K59" i="5"/>
  <c r="H59" i="5"/>
  <c r="M59" i="5"/>
  <c r="H60" i="5"/>
  <c r="M60" i="5"/>
  <c r="H61" i="5"/>
  <c r="M61" i="5"/>
  <c r="H62" i="5"/>
  <c r="M62" i="5"/>
  <c r="H63" i="5"/>
  <c r="M63" i="5"/>
  <c r="H64" i="5"/>
  <c r="M64" i="5"/>
  <c r="H65" i="5"/>
  <c r="M65" i="5"/>
  <c r="M67" i="5"/>
  <c r="C69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8" i="5"/>
  <c r="C67" i="5"/>
  <c r="C71" i="5"/>
  <c r="C72" i="5"/>
  <c r="C73" i="5"/>
  <c r="C49" i="1"/>
  <c r="D50" i="1"/>
  <c r="E53" i="1"/>
  <c r="G53" i="1"/>
  <c r="E54" i="1"/>
  <c r="G54" i="1"/>
  <c r="E55" i="1"/>
  <c r="G55" i="1"/>
  <c r="E56" i="1"/>
  <c r="G56" i="1"/>
  <c r="E57" i="1"/>
  <c r="G57" i="1"/>
  <c r="E58" i="1"/>
  <c r="G58" i="1"/>
  <c r="G59" i="1"/>
  <c r="G60" i="1"/>
  <c r="G61" i="1"/>
  <c r="G62" i="1"/>
  <c r="G63" i="1"/>
  <c r="G64" i="1"/>
  <c r="G65" i="1"/>
  <c r="G67" i="1"/>
  <c r="H53" i="1"/>
  <c r="M53" i="1"/>
  <c r="H54" i="1"/>
  <c r="M54" i="1"/>
  <c r="H55" i="1"/>
  <c r="M55" i="1"/>
  <c r="H56" i="1"/>
  <c r="M56" i="1"/>
  <c r="H57" i="1"/>
  <c r="M57" i="1"/>
  <c r="H58" i="1"/>
  <c r="M58" i="1"/>
  <c r="H59" i="1"/>
  <c r="M59" i="1"/>
  <c r="H60" i="1"/>
  <c r="M60" i="1"/>
  <c r="H61" i="1"/>
  <c r="M61" i="1"/>
  <c r="H62" i="1"/>
  <c r="M62" i="1"/>
  <c r="H63" i="1"/>
  <c r="M63" i="1"/>
  <c r="H64" i="1"/>
  <c r="M64" i="1"/>
  <c r="H65" i="1"/>
  <c r="M65" i="1"/>
  <c r="M67" i="1"/>
  <c r="C69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8" i="1"/>
  <c r="C67" i="1"/>
  <c r="C71" i="1"/>
  <c r="C72" i="1"/>
  <c r="C73" i="1"/>
  <c r="D65" i="1"/>
  <c r="F65" i="1"/>
  <c r="D64" i="1"/>
  <c r="F64" i="1"/>
  <c r="D63" i="1"/>
  <c r="F63" i="1"/>
  <c r="D62" i="1"/>
  <c r="F62" i="1"/>
  <c r="D61" i="1"/>
  <c r="F61" i="1"/>
  <c r="D60" i="1"/>
  <c r="F60" i="1"/>
  <c r="E10" i="1"/>
  <c r="D59" i="1"/>
  <c r="F59" i="1"/>
  <c r="D58" i="1"/>
  <c r="F58" i="1"/>
  <c r="D57" i="1"/>
  <c r="F57" i="1"/>
  <c r="D56" i="1"/>
  <c r="F56" i="1"/>
  <c r="D55" i="1"/>
  <c r="F55" i="1"/>
  <c r="D54" i="1"/>
  <c r="F54" i="1"/>
  <c r="D53" i="1"/>
  <c r="F53" i="1"/>
  <c r="E11" i="1"/>
  <c r="L53" i="5"/>
  <c r="L54" i="5"/>
  <c r="L55" i="5"/>
  <c r="L56" i="5"/>
  <c r="L57" i="5"/>
  <c r="L58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L68" i="5"/>
  <c r="D88" i="5"/>
  <c r="C83" i="5"/>
  <c r="D83" i="5"/>
  <c r="C80" i="5"/>
  <c r="C81" i="5"/>
  <c r="C68" i="5"/>
  <c r="E71" i="5"/>
  <c r="E80" i="5"/>
  <c r="L29" i="5"/>
  <c r="G80" i="5"/>
  <c r="M80" i="5"/>
  <c r="F81" i="5"/>
  <c r="J81" i="5"/>
  <c r="J80" i="5"/>
  <c r="C77" i="5"/>
  <c r="C78" i="5"/>
  <c r="E77" i="5"/>
  <c r="G77" i="5"/>
  <c r="M77" i="5"/>
  <c r="F78" i="5"/>
  <c r="J78" i="5"/>
  <c r="J77" i="5"/>
  <c r="C75" i="5"/>
  <c r="E75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8" i="5"/>
  <c r="E72" i="5"/>
  <c r="G72" i="5"/>
  <c r="J73" i="5"/>
  <c r="J72" i="5"/>
  <c r="G71" i="5"/>
  <c r="J71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E48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C48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E47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C47" i="5"/>
  <c r="E49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K53" i="1"/>
  <c r="K54" i="1"/>
  <c r="K55" i="1"/>
  <c r="K56" i="1"/>
  <c r="K57" i="1"/>
  <c r="K58" i="1"/>
  <c r="K59" i="1"/>
  <c r="L53" i="1"/>
  <c r="L54" i="1"/>
  <c r="L55" i="1"/>
  <c r="L56" i="1"/>
  <c r="L57" i="1"/>
  <c r="L58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L68" i="1"/>
  <c r="D88" i="1"/>
  <c r="L29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E47" i="1"/>
  <c r="E48" i="1"/>
  <c r="C47" i="1"/>
  <c r="C48" i="1"/>
  <c r="N64" i="1"/>
  <c r="N63" i="1"/>
  <c r="N65" i="1"/>
  <c r="N55" i="1"/>
  <c r="N58" i="1"/>
  <c r="N54" i="1"/>
  <c r="N62" i="1"/>
  <c r="N53" i="1"/>
  <c r="N57" i="1"/>
  <c r="N56" i="1"/>
  <c r="N59" i="1"/>
  <c r="N60" i="1"/>
  <c r="N61" i="1"/>
  <c r="N68" i="1"/>
  <c r="C68" i="1"/>
  <c r="C75" i="1"/>
  <c r="E75" i="1"/>
  <c r="E71" i="1"/>
  <c r="G71" i="1"/>
  <c r="J71" i="1"/>
  <c r="C83" i="1"/>
  <c r="D83" i="1"/>
  <c r="C80" i="1"/>
  <c r="C77" i="1"/>
  <c r="C78" i="1"/>
  <c r="E72" i="1"/>
  <c r="G72" i="1"/>
  <c r="J72" i="1"/>
  <c r="E80" i="1"/>
  <c r="G80" i="1"/>
  <c r="M80" i="1"/>
  <c r="F81" i="1"/>
  <c r="J73" i="1"/>
  <c r="E77" i="1"/>
  <c r="G77" i="1"/>
  <c r="J80" i="1"/>
  <c r="C81" i="1"/>
  <c r="J81" i="1"/>
  <c r="M77" i="1"/>
  <c r="F78" i="1"/>
  <c r="J78" i="1"/>
  <c r="J77" i="1"/>
</calcChain>
</file>

<file path=xl/comments1.xml><?xml version="1.0" encoding="utf-8"?>
<comments xmlns="http://schemas.openxmlformats.org/spreadsheetml/2006/main">
  <authors>
    <author xml:space="preserve"> </author>
  </authors>
  <commentList>
    <comment ref="D52" authorId="0" shapeId="0">
      <text>
        <r>
          <rPr>
            <b/>
            <sz val="8"/>
            <color indexed="10"/>
            <rFont val="Tahoma"/>
            <family val="2"/>
          </rPr>
          <t>!!Attention !! :
Le débit mesuré est calculé à partir des valeurs de qr conformément à la formule :
En dépressurisation: qm(corrigé)=  qr*Racine(1.204/(densité intérieure))
En préssurisation qm(corrigé)=qr*Racine(1.204/(densité extérieure))
Il est nécessaire pour cela de renseigner la case E13.
Si le logiciel fourni les valeurs mesurées directement, elles doivent être saisie dans cette colonne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D52" authorId="0" shapeId="0">
      <text>
        <r>
          <rPr>
            <b/>
            <sz val="8"/>
            <color indexed="10"/>
            <rFont val="Tahoma"/>
            <family val="2"/>
          </rPr>
          <t>!!Attention !! :
Le débit mesuré est calculé à partir des valeurs de qr conformément à la formule:
En dépressurisation: qm(corrigé)=  qr*Racine(1.204/(densité intérieure))
En préssurisation qm(corrigé)=qr*Racine(1.204/(densité extérieure))
Il est nécessaire pour cela de renseigner la case E13.
Si le logiciel fourni les valeurs mesurées directement, elles doivent être saisie dans cette colonne</t>
        </r>
      </text>
    </comment>
  </commentList>
</comments>
</file>

<file path=xl/sharedStrings.xml><?xml version="1.0" encoding="utf-8"?>
<sst xmlns="http://schemas.openxmlformats.org/spreadsheetml/2006/main" count="196" uniqueCount="109">
  <si>
    <t>INFORMATIONS BATIMENT</t>
  </si>
  <si>
    <t>Type</t>
  </si>
  <si>
    <t>Volume chauffé</t>
  </si>
  <si>
    <r>
      <t>Surface A</t>
    </r>
    <r>
      <rPr>
        <vertAlign val="subscript"/>
        <sz val="10"/>
        <rFont val="Arial"/>
        <family val="2"/>
      </rPr>
      <t>Tbat</t>
    </r>
  </si>
  <si>
    <t>CONDITIONS ATMOSPHERIQUES</t>
  </si>
  <si>
    <t>Pression atmosphérique</t>
  </si>
  <si>
    <t>Densité standard</t>
  </si>
  <si>
    <t>Humidité relative intérieure</t>
  </si>
  <si>
    <t>Humidité relative extérieure</t>
  </si>
  <si>
    <t>Température intérieure</t>
  </si>
  <si>
    <t>Densité intérieure</t>
  </si>
  <si>
    <t>Température extérieure</t>
  </si>
  <si>
    <t>Densité extérieure</t>
  </si>
  <si>
    <t>CONDITIONS DE L'ESSAI</t>
  </si>
  <si>
    <t>Méthode</t>
  </si>
  <si>
    <t>Nombre de paliers</t>
  </si>
  <si>
    <t>DIFFERENCES DE PRESSIONS A DEBIT NUL</t>
  </si>
  <si>
    <t>AVANT</t>
  </si>
  <si>
    <t>APRES</t>
  </si>
  <si>
    <t>N</t>
  </si>
  <si>
    <t>P = 0,95</t>
  </si>
  <si>
    <t>T(P, N-2) =</t>
  </si>
  <si>
    <r>
      <t>D</t>
    </r>
    <r>
      <rPr>
        <sz val="10"/>
        <rFont val="Arial"/>
      </rPr>
      <t>P01+</t>
    </r>
  </si>
  <si>
    <r>
      <t>D</t>
    </r>
    <r>
      <rPr>
        <sz val="10"/>
        <rFont val="Arial"/>
      </rPr>
      <t>P02+</t>
    </r>
  </si>
  <si>
    <r>
      <t>D</t>
    </r>
    <r>
      <rPr>
        <sz val="10"/>
        <rFont val="Arial"/>
      </rPr>
      <t>P01-</t>
    </r>
  </si>
  <si>
    <r>
      <t>D</t>
    </r>
    <r>
      <rPr>
        <sz val="10"/>
        <rFont val="Arial"/>
      </rPr>
      <t>P02-</t>
    </r>
  </si>
  <si>
    <r>
      <t>D</t>
    </r>
    <r>
      <rPr>
        <sz val="10"/>
        <rFont val="Arial"/>
      </rPr>
      <t>P01</t>
    </r>
  </si>
  <si>
    <r>
      <t>D</t>
    </r>
    <r>
      <rPr>
        <sz val="10"/>
        <rFont val="Arial"/>
      </rPr>
      <t>P02</t>
    </r>
  </si>
  <si>
    <t>Moyenne générale</t>
  </si>
  <si>
    <r>
      <t>D</t>
    </r>
    <r>
      <rPr>
        <b/>
        <sz val="10"/>
        <rFont val="Arial"/>
        <family val="2"/>
      </rPr>
      <t>Pm</t>
    </r>
  </si>
  <si>
    <r>
      <t>D</t>
    </r>
    <r>
      <rPr>
        <b/>
        <sz val="10"/>
        <rFont val="Arial"/>
        <family val="2"/>
      </rPr>
      <t>P</t>
    </r>
  </si>
  <si>
    <t>Xi-X'</t>
  </si>
  <si>
    <t>(Xi-X')²</t>
  </si>
  <si>
    <t>Yi=ln(Qenv)</t>
  </si>
  <si>
    <t>Yi-Y'</t>
  </si>
  <si>
    <t>(Yi-Y')²</t>
  </si>
  <si>
    <t>(Xi-X')(Yi-Y')</t>
  </si>
  <si>
    <t>Xi²</t>
  </si>
  <si>
    <t>X' =</t>
  </si>
  <si>
    <t>Y' =</t>
  </si>
  <si>
    <t>Sx² =</t>
  </si>
  <si>
    <t>Sy² =</t>
  </si>
  <si>
    <t>Sxy =</t>
  </si>
  <si>
    <t>INTERVALLES DE CONFIANCE A 95%</t>
  </si>
  <si>
    <t>n =</t>
  </si>
  <si>
    <r>
      <t>S</t>
    </r>
    <r>
      <rPr>
        <vertAlign val="subscript"/>
        <sz val="10"/>
        <rFont val="Arial"/>
        <family val="2"/>
      </rPr>
      <t>n</t>
    </r>
    <r>
      <rPr>
        <sz val="10"/>
        <rFont val="Arial"/>
      </rPr>
      <t xml:space="preserve"> =</t>
    </r>
  </si>
  <si>
    <r>
      <t>I</t>
    </r>
    <r>
      <rPr>
        <vertAlign val="subscript"/>
        <sz val="10"/>
        <rFont val="Arial"/>
        <family val="2"/>
      </rPr>
      <t>n</t>
    </r>
    <r>
      <rPr>
        <sz val="10"/>
        <rFont val="Arial"/>
      </rPr>
      <t xml:space="preserve"> =</t>
    </r>
  </si>
  <si>
    <t>n :</t>
  </si>
  <si>
    <t>Cenv =</t>
  </si>
  <si>
    <r>
      <t>S</t>
    </r>
    <r>
      <rPr>
        <vertAlign val="subscript"/>
        <sz val="10"/>
        <rFont val="Arial"/>
        <family val="2"/>
      </rPr>
      <t>ln(C)</t>
    </r>
    <r>
      <rPr>
        <sz val="10"/>
        <rFont val="Arial"/>
      </rPr>
      <t xml:space="preserve"> =</t>
    </r>
  </si>
  <si>
    <r>
      <t>I</t>
    </r>
    <r>
      <rPr>
        <vertAlign val="subscript"/>
        <sz val="10"/>
        <rFont val="Arial"/>
        <family val="2"/>
      </rPr>
      <t>ln(C)</t>
    </r>
    <r>
      <rPr>
        <sz val="10"/>
        <rFont val="Arial"/>
      </rPr>
      <t xml:space="preserve"> =</t>
    </r>
  </si>
  <si>
    <t>Cenv :</t>
  </si>
  <si>
    <t>Corrélation =</t>
  </si>
  <si>
    <r>
      <t>S</t>
    </r>
    <r>
      <rPr>
        <vertAlign val="subscript"/>
        <sz val="10"/>
        <rFont val="Arial"/>
        <family val="2"/>
      </rPr>
      <t>y(ln(50))</t>
    </r>
    <r>
      <rPr>
        <sz val="10"/>
        <rFont val="Arial"/>
      </rPr>
      <t xml:space="preserve"> =</t>
    </r>
  </si>
  <si>
    <r>
      <t>I</t>
    </r>
    <r>
      <rPr>
        <vertAlign val="subscript"/>
        <sz val="10"/>
        <rFont val="Arial"/>
        <family val="2"/>
      </rPr>
      <t>y(ln(50))</t>
    </r>
    <r>
      <rPr>
        <sz val="10"/>
        <rFont val="Arial"/>
      </rPr>
      <t xml:space="preserve"> =</t>
    </r>
  </si>
  <si>
    <t>n50 =</t>
  </si>
  <si>
    <t>incertitude n50 =</t>
  </si>
  <si>
    <t>n50 :</t>
  </si>
  <si>
    <t>Erreur (%)</t>
  </si>
  <si>
    <r>
      <t>S</t>
    </r>
    <r>
      <rPr>
        <vertAlign val="subscript"/>
        <sz val="10"/>
        <rFont val="Arial"/>
        <family val="2"/>
      </rPr>
      <t>y(ln(4))</t>
    </r>
    <r>
      <rPr>
        <sz val="10"/>
        <rFont val="Arial"/>
      </rPr>
      <t xml:space="preserve"> =</t>
    </r>
  </si>
  <si>
    <r>
      <t>I</t>
    </r>
    <r>
      <rPr>
        <vertAlign val="subscript"/>
        <sz val="10"/>
        <rFont val="Arial"/>
        <family val="2"/>
      </rPr>
      <t>y(ln(4))</t>
    </r>
    <r>
      <rPr>
        <sz val="10"/>
        <rFont val="Arial"/>
      </rPr>
      <t xml:space="preserve"> =</t>
    </r>
  </si>
  <si>
    <t>Q4Pa_surf =</t>
  </si>
  <si>
    <t>Q4Pa_surf :</t>
  </si>
  <si>
    <t>incertitude Q4Pa_surf =</t>
  </si>
  <si>
    <t>LOI DE STUDENT</t>
  </si>
  <si>
    <t>RESULTATS</t>
  </si>
  <si>
    <t>POINTS DE MESURES</t>
  </si>
  <si>
    <r>
      <t>Xi=ln(|</t>
    </r>
    <r>
      <rPr>
        <sz val="10"/>
        <rFont val="Symbol"/>
        <family val="1"/>
        <charset val="2"/>
      </rPr>
      <t>D</t>
    </r>
    <r>
      <rPr>
        <sz val="10"/>
        <rFont val="Arial"/>
      </rPr>
      <t>P|)</t>
    </r>
  </si>
  <si>
    <r>
      <t xml:space="preserve">S </t>
    </r>
    <r>
      <rPr>
        <sz val="10"/>
        <rFont val="Arial"/>
      </rPr>
      <t>(Xi-X')² =</t>
    </r>
  </si>
  <si>
    <r>
      <t xml:space="preserve">S </t>
    </r>
    <r>
      <rPr>
        <sz val="10"/>
        <rFont val="Arial"/>
      </rPr>
      <t>(Yi-Y')² =</t>
    </r>
  </si>
  <si>
    <r>
      <t xml:space="preserve">S </t>
    </r>
    <r>
      <rPr>
        <sz val="10"/>
        <rFont val="Arial"/>
      </rPr>
      <t>(Xi-X')(Yi-Y') =</t>
    </r>
  </si>
  <si>
    <r>
      <t xml:space="preserve">S </t>
    </r>
    <r>
      <rPr>
        <sz val="10"/>
        <rFont val="Arial"/>
      </rPr>
      <t>Xi² =</t>
    </r>
  </si>
  <si>
    <t>Légende :</t>
  </si>
  <si>
    <t>Remarque</t>
  </si>
  <si>
    <t>Données d'entrée dans la limite du nombre de paliers ; les cases inutilisées restent VIDES</t>
  </si>
  <si>
    <t>Données d'entrée à complèter</t>
  </si>
  <si>
    <t>Avertissement</t>
  </si>
  <si>
    <t>CHIOETTO</t>
  </si>
  <si>
    <t>selon FD P 50-784</t>
  </si>
  <si>
    <t>incertitude q50</t>
  </si>
  <si>
    <t>incertitude q4</t>
  </si>
  <si>
    <t>q50 :</t>
  </si>
  <si>
    <t>q4 :</t>
  </si>
  <si>
    <t>q4 =</t>
  </si>
  <si>
    <t>q50 =</t>
  </si>
  <si>
    <t>r2</t>
  </si>
  <si>
    <t>Les débits sont notés q sur les feuilles de calcul</t>
  </si>
  <si>
    <t>qr : débits d'air relevés</t>
  </si>
  <si>
    <t>ELA(4Pa) =</t>
  </si>
  <si>
    <r>
      <t>A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 xml:space="preserve"> surface équivalente de fuite à 4Pa (cm2): 
ELA(ΔPref)=1/3600 x CL x (ρ</t>
    </r>
    <r>
      <rPr>
        <b/>
        <vertAlign val="subscript"/>
        <sz val="9"/>
        <rFont val="Arial"/>
        <family val="2"/>
      </rPr>
      <t>0</t>
    </r>
    <r>
      <rPr>
        <b/>
        <sz val="9"/>
        <rFont val="Arial"/>
        <family val="2"/>
      </rPr>
      <t xml:space="preserve"> / 2)</t>
    </r>
    <r>
      <rPr>
        <b/>
        <vertAlign val="superscript"/>
        <sz val="9"/>
        <rFont val="Arial"/>
        <family val="2"/>
      </rPr>
      <t>0.5</t>
    </r>
    <r>
      <rPr>
        <b/>
        <sz val="9"/>
        <rFont val="Arial"/>
        <family val="2"/>
      </rPr>
      <t xml:space="preserve"> x (ΔPref) </t>
    </r>
    <r>
      <rPr>
        <b/>
        <vertAlign val="superscript"/>
        <sz val="9"/>
        <rFont val="Arial"/>
        <family val="2"/>
      </rPr>
      <t xml:space="preserve">(n-0.5) </t>
    </r>
    <r>
      <rPr>
        <b/>
        <sz val="9"/>
        <rFont val="Arial"/>
        <family val="2"/>
      </rPr>
      <t>x 10000</t>
    </r>
  </si>
  <si>
    <t>Dépression / Surpression (D/S)</t>
  </si>
  <si>
    <t>D</t>
  </si>
  <si>
    <t>qm (corrigé ou mesuré) débits d'air mesurés</t>
  </si>
  <si>
    <r>
      <t xml:space="preserve">qenv
</t>
    </r>
    <r>
      <rPr>
        <sz val="8"/>
        <rFont val="Arial"/>
        <family val="2"/>
      </rPr>
      <t>(en fonction de la T°)</t>
    </r>
  </si>
  <si>
    <r>
      <t xml:space="preserve">qenv 
</t>
    </r>
    <r>
      <rPr>
        <sz val="8"/>
        <rFont val="Arial"/>
        <family val="2"/>
      </rPr>
      <t>(fonction de la densité)</t>
    </r>
  </si>
  <si>
    <r>
      <t>C</t>
    </r>
    <r>
      <rPr>
        <b/>
        <vertAlign val="subscript"/>
        <sz val="10"/>
        <rFont val="Arial"/>
        <family val="2"/>
      </rPr>
      <t>L (fonction de T°)</t>
    </r>
    <r>
      <rPr>
        <b/>
        <sz val="10"/>
        <rFont val="Arial"/>
        <family val="2"/>
      </rPr>
      <t xml:space="preserve"> :</t>
    </r>
  </si>
  <si>
    <r>
      <t>C</t>
    </r>
    <r>
      <rPr>
        <b/>
        <vertAlign val="subscript"/>
        <sz val="10"/>
        <rFont val="Arial"/>
        <family val="2"/>
      </rPr>
      <t>L  (fonction de la densité)</t>
    </r>
    <r>
      <rPr>
        <b/>
        <sz val="10"/>
        <rFont val="Arial"/>
        <family val="2"/>
      </rPr>
      <t>=</t>
    </r>
  </si>
  <si>
    <r>
      <t>C</t>
    </r>
    <r>
      <rPr>
        <b/>
        <vertAlign val="subscript"/>
        <sz val="10"/>
        <rFont val="Arial"/>
        <family val="2"/>
      </rPr>
      <t>L (fonction de la densitéT°)</t>
    </r>
    <r>
      <rPr>
        <b/>
        <sz val="10"/>
        <rFont val="Arial"/>
        <family val="2"/>
      </rPr>
      <t xml:space="preserve"> :</t>
    </r>
  </si>
  <si>
    <r>
      <t>C</t>
    </r>
    <r>
      <rPr>
        <b/>
        <vertAlign val="subscript"/>
        <sz val="10"/>
        <rFont val="Arial"/>
        <family val="2"/>
      </rPr>
      <t>L (fonction de T°)</t>
    </r>
    <r>
      <rPr>
        <b/>
        <sz val="10"/>
        <rFont val="Arial"/>
        <family val="2"/>
      </rPr>
      <t>=</t>
    </r>
  </si>
  <si>
    <t>Cet outil a été développé par le Cerema en conformité avec la norme NF EN ISO 9972 (2015) et le FD P 50-784 (2016) et vérifié par des membres du club "perméa". Il permet aux éditeurs de logiciels de mesure de la perméabilité à l'air de l'enveloppe et aux mesureurs de vérifier la conformité de leurs calculs vis-à-vis de la norme et de son guide d'application. Son utilisation ne saurait engager la responsabilité des organismes ayant contribué à son développement.</t>
  </si>
  <si>
    <t>Cellules présentant les principaux résultats attendus conformément à la norme NF EN ISO 9972 et au guide d'application FD P 50-784</t>
  </si>
  <si>
    <t>Cellules présentant les calculs intermédiaires</t>
  </si>
  <si>
    <t>Feuilles :</t>
  </si>
  <si>
    <t>TEST_qenv_CL_T°</t>
  </si>
  <si>
    <t>TEST_qenv_CL_densite</t>
  </si>
  <si>
    <t>Cette feuille du fichier est remplie automatiquement dès lors que la feuille TEST_qenv_CL_T° est déjà remplie.</t>
  </si>
  <si>
    <t>Remplir cette feuille du fichier pour contrôler que les calculs sont conformes à la norme et à son guide d'application.</t>
  </si>
  <si>
    <t>Les calculs sont réalisés avec l'approximation par les températures (formules 3, 4 6 et 7 de la norme NF EN ISO 9972).</t>
  </si>
  <si>
    <t>Les calculs sont réalisés en utilisant les masses volumiques de l'air intérieur et extérieur (formules 3, 4, 6 et 7 de la norme NF EN ISO 9972).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</si>
</sst>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&quot; °C&quot;"/>
    <numFmt numFmtId="165" formatCode="0&quot; Pa&quot;"/>
    <numFmt numFmtId="166" formatCode="0.00000"/>
    <numFmt numFmtId="167" formatCode="0.000"/>
    <numFmt numFmtId="168" formatCode="0.00&quot; m3&quot;"/>
    <numFmt numFmtId="169" formatCode="0.00&quot; m²&quot;"/>
    <numFmt numFmtId="170" formatCode="0.0"/>
  </numFmts>
  <fonts count="21" x14ac:knownFonts="1">
    <font>
      <sz val="10"/>
      <name val="Arial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Tahoma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0" tint="-0.499984740745262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</font>
    <font>
      <u/>
      <sz val="10"/>
      <color theme="10"/>
      <name val="Arial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9">
    <xf numFmtId="0" fontId="0" fillId="0" borderId="0" xfId="0"/>
    <xf numFmtId="0" fontId="8" fillId="0" borderId="0" xfId="0" applyFont="1"/>
    <xf numFmtId="0" fontId="0" fillId="5" borderId="0" xfId="0" applyFill="1"/>
    <xf numFmtId="0" fontId="0" fillId="6" borderId="0" xfId="0" applyFill="1"/>
    <xf numFmtId="0" fontId="0" fillId="3" borderId="0" xfId="0" applyFill="1" applyProtection="1"/>
    <xf numFmtId="0" fontId="0" fillId="0" borderId="5" xfId="0" applyBorder="1"/>
    <xf numFmtId="0" fontId="8" fillId="3" borderId="0" xfId="0" applyFont="1" applyFill="1"/>
    <xf numFmtId="0" fontId="0" fillId="3" borderId="0" xfId="0" applyFill="1"/>
    <xf numFmtId="0" fontId="4" fillId="3" borderId="0" xfId="0" applyFont="1" applyFill="1"/>
    <xf numFmtId="0" fontId="4" fillId="3" borderId="0" xfId="0" applyFont="1" applyFill="1" applyBorder="1" applyAlignment="1">
      <alignment vertical="center" wrapText="1"/>
    </xf>
    <xf numFmtId="0" fontId="0" fillId="7" borderId="0" xfId="0" applyFill="1"/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168" fontId="1" fillId="7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right" vertical="center"/>
    </xf>
    <xf numFmtId="9" fontId="0" fillId="7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/>
    </xf>
    <xf numFmtId="169" fontId="0" fillId="7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right" vertical="center"/>
    </xf>
    <xf numFmtId="9" fontId="0" fillId="7" borderId="6" xfId="0" applyNumberFormat="1" applyFill="1" applyBorder="1" applyAlignment="1" applyProtection="1">
      <alignment horizontal="center" vertical="center"/>
      <protection locked="0"/>
    </xf>
    <xf numFmtId="165" fontId="0" fillId="7" borderId="7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right" vertical="center"/>
    </xf>
    <xf numFmtId="0" fontId="0" fillId="2" borderId="7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  <protection locked="0"/>
    </xf>
    <xf numFmtId="10" fontId="0" fillId="7" borderId="5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right" vertical="center"/>
    </xf>
    <xf numFmtId="0" fontId="0" fillId="2" borderId="3" xfId="0" applyNumberFormat="1" applyFill="1" applyBorder="1" applyAlignment="1" applyProtection="1">
      <alignment vertical="center"/>
    </xf>
    <xf numFmtId="164" fontId="0" fillId="7" borderId="5" xfId="0" applyNumberForma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</xf>
    <xf numFmtId="164" fontId="0" fillId="7" borderId="6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vertical="center" wrapText="1"/>
    </xf>
    <xf numFmtId="0" fontId="0" fillId="8" borderId="6" xfId="0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3" borderId="5" xfId="0" applyFont="1" applyFill="1" applyBorder="1" applyAlignment="1" applyProtection="1">
      <alignment horizontal="centerContinuous" vertical="center"/>
    </xf>
    <xf numFmtId="0" fontId="0" fillId="3" borderId="1" xfId="0" applyFill="1" applyBorder="1" applyAlignment="1" applyProtection="1">
      <alignment vertical="center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vertical="center"/>
    </xf>
    <xf numFmtId="0" fontId="0" fillId="8" borderId="6" xfId="0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right" vertical="center"/>
    </xf>
    <xf numFmtId="2" fontId="0" fillId="6" borderId="5" xfId="0" applyNumberForma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/>
    </xf>
    <xf numFmtId="0" fontId="0" fillId="6" borderId="5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2" fontId="0" fillId="8" borderId="5" xfId="0" applyNumberForma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 applyProtection="1">
      <alignment horizontal="center" vertical="center"/>
    </xf>
    <xf numFmtId="0" fontId="12" fillId="8" borderId="5" xfId="0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right" vertical="center"/>
    </xf>
    <xf numFmtId="0" fontId="0" fillId="0" borderId="5" xfId="0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166" fontId="4" fillId="6" borderId="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right" vertical="center"/>
    </xf>
    <xf numFmtId="166" fontId="4" fillId="6" borderId="5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vertical="center" wrapText="1"/>
    </xf>
    <xf numFmtId="0" fontId="0" fillId="0" borderId="5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0" fillId="3" borderId="3" xfId="0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  <xf numFmtId="10" fontId="0" fillId="6" borderId="5" xfId="0" applyNumberForma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right" vertical="center"/>
    </xf>
    <xf numFmtId="170" fontId="4" fillId="6" borderId="5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vertical="center"/>
    </xf>
    <xf numFmtId="0" fontId="4" fillId="10" borderId="5" xfId="0" applyFont="1" applyFill="1" applyBorder="1" applyAlignment="1" applyProtection="1">
      <alignment horizontal="center" vertical="center" wrapText="1"/>
    </xf>
    <xf numFmtId="0" fontId="4" fillId="10" borderId="5" xfId="0" applyFont="1" applyFill="1" applyBorder="1" applyAlignment="1" applyProtection="1">
      <alignment horizontal="right" vertical="center" wrapText="1"/>
    </xf>
    <xf numFmtId="0" fontId="0" fillId="11" borderId="5" xfId="0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 applyProtection="1">
      <alignment horizontal="center" vertical="center"/>
    </xf>
    <xf numFmtId="0" fontId="0" fillId="11" borderId="6" xfId="0" applyFill="1" applyBorder="1" applyAlignment="1" applyProtection="1">
      <alignment horizontal="center" vertical="center"/>
      <protection locked="0"/>
    </xf>
    <xf numFmtId="2" fontId="0" fillId="11" borderId="5" xfId="0" applyNumberForma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12" fillId="11" borderId="5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4" fillId="6" borderId="5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167" fontId="4" fillId="6" borderId="5" xfId="0" applyNumberFormat="1" applyFont="1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167" fontId="4" fillId="6" borderId="5" xfId="0" applyNumberFormat="1" applyFont="1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vertical="center"/>
    </xf>
    <xf numFmtId="2" fontId="4" fillId="6" borderId="5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>
      <alignment horizontal="left" vertical="center" wrapText="1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168" fontId="1" fillId="0" borderId="5" xfId="0" applyNumberFormat="1" applyFont="1" applyFill="1" applyBorder="1" applyAlignment="1" applyProtection="1">
      <alignment horizontal="center" vertical="center"/>
      <protection locked="0"/>
    </xf>
    <xf numFmtId="169" fontId="0" fillId="0" borderId="6" xfId="0" applyNumberFormat="1" applyFill="1" applyBorder="1" applyAlignment="1" applyProtection="1">
      <alignment horizontal="center" vertical="center"/>
      <protection locked="0"/>
    </xf>
    <xf numFmtId="165" fontId="0" fillId="0" borderId="7" xfId="0" applyNumberFormat="1" applyFill="1" applyBorder="1" applyAlignment="1" applyProtection="1">
      <alignment horizontal="center" vertical="center"/>
      <protection locked="0"/>
    </xf>
    <xf numFmtId="10" fontId="0" fillId="0" borderId="5" xfId="0" applyNumberFormat="1" applyFill="1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64" fontId="0" fillId="0" borderId="6" xfId="0" applyNumberFormat="1" applyFill="1" applyBorder="1" applyAlignment="1" applyProtection="1">
      <alignment horizontal="center" vertical="center"/>
      <protection locked="0"/>
    </xf>
    <xf numFmtId="9" fontId="0" fillId="0" borderId="5" xfId="0" applyNumberFormat="1" applyFill="1" applyBorder="1" applyAlignment="1" applyProtection="1">
      <alignment horizontal="center" vertical="center"/>
      <protection locked="0"/>
    </xf>
    <xf numFmtId="9" fontId="0" fillId="0" borderId="6" xfId="0" applyNumberFormat="1" applyFill="1" applyBorder="1" applyAlignment="1" applyProtection="1">
      <alignment horizontal="center" vertical="center"/>
      <protection locked="0"/>
    </xf>
    <xf numFmtId="0" fontId="1" fillId="3" borderId="0" xfId="0" applyFont="1" applyFill="1"/>
  </cellXfs>
  <cellStyles count="27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 visité" xfId="1" builtinId="9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AA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1044708</xdr:colOff>
      <xdr:row>85</xdr:row>
      <xdr:rowOff>154780</xdr:rowOff>
    </xdr:from>
    <xdr:to>
      <xdr:col>3</xdr:col>
      <xdr:colOff>179855</xdr:colOff>
      <xdr:row>89</xdr:row>
      <xdr:rowOff>57705</xdr:rowOff>
    </xdr:to>
    <xdr:pic>
      <xdr:nvPicPr>
        <xdr:cNvPr id="2" name="Image 1" descr="Équation">
          <a:extLst>
            <a:ext uri="{FF2B5EF4-FFF2-40B4-BE49-F238E27FC236}">
              <a16:creationId xmlns:a16="http://schemas.microsoft.com/office/drawing/2014/main" id="{1FD7FCFA-2B1B-4F3A-BD15-79ABBEE09D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802" y="16478249"/>
          <a:ext cx="1635459" cy="569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891628</xdr:colOff>
      <xdr:row>86</xdr:row>
      <xdr:rowOff>0</xdr:rowOff>
    </xdr:from>
    <xdr:to>
      <xdr:col>3</xdr:col>
      <xdr:colOff>12827</xdr:colOff>
      <xdr:row>89</xdr:row>
      <xdr:rowOff>69612</xdr:rowOff>
    </xdr:to>
    <xdr:pic>
      <xdr:nvPicPr>
        <xdr:cNvPr id="2" name="Image 1" descr="Équation">
          <a:extLst>
            <a:ext uri="{FF2B5EF4-FFF2-40B4-BE49-F238E27FC236}">
              <a16:creationId xmlns:a16="http://schemas.microsoft.com/office/drawing/2014/main" id="{24E5CE76-73B6-4A7C-A345-52A5FEAA1B2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021" y="16546286"/>
          <a:ext cx="1611306" cy="5594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K20"/>
  <sheetViews>
    <sheetView workbookViewId="0">
      <selection activeCell="G18" sqref="G18"/>
    </sheetView>
  </sheetViews>
  <sheetFormatPr baseColWidth="10" defaultColWidth="11.28515625" defaultRowHeight="12.75" x14ac:dyDescent="0.2"/>
  <cols>
    <col min="1" max="1" width="2.140625" style="7" customWidth="1"/>
    <col min="2" max="10" width="11.28515625" style="7"/>
    <col min="11" max="11" width="29.140625" style="7" customWidth="1"/>
    <col min="12" max="16384" width="11.28515625" style="7"/>
  </cols>
  <sheetData>
    <row r="1" spans="2:11" ht="10.5" customHeight="1" x14ac:dyDescent="0.2">
      <c r="B1" s="6"/>
    </row>
    <row r="2" spans="2:11" x14ac:dyDescent="0.2">
      <c r="B2" s="6" t="s">
        <v>76</v>
      </c>
    </row>
    <row r="3" spans="2:11" x14ac:dyDescent="0.2">
      <c r="B3" s="89" t="s">
        <v>99</v>
      </c>
      <c r="C3" s="90"/>
      <c r="D3" s="90"/>
      <c r="E3" s="90"/>
      <c r="F3" s="90"/>
      <c r="G3" s="90"/>
      <c r="H3" s="90"/>
      <c r="I3" s="90"/>
      <c r="J3" s="90"/>
      <c r="K3" s="90"/>
    </row>
    <row r="4" spans="2:11" x14ac:dyDescent="0.2"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2:11" x14ac:dyDescent="0.2">
      <c r="B5" s="90"/>
      <c r="C5" s="90"/>
      <c r="D5" s="90"/>
      <c r="E5" s="90"/>
      <c r="F5" s="90"/>
      <c r="G5" s="90"/>
      <c r="H5" s="90"/>
      <c r="I5" s="90"/>
      <c r="J5" s="90"/>
      <c r="K5" s="90"/>
    </row>
    <row r="7" spans="2:11" ht="16.5" customHeight="1" x14ac:dyDescent="0.2">
      <c r="B7" s="1" t="s">
        <v>72</v>
      </c>
    </row>
    <row r="8" spans="2:11" ht="15.75" customHeight="1" x14ac:dyDescent="0.2">
      <c r="B8" s="10"/>
      <c r="C8" s="8" t="s">
        <v>75</v>
      </c>
    </row>
    <row r="9" spans="2:11" ht="15.75" customHeight="1" x14ac:dyDescent="0.2">
      <c r="B9" s="2"/>
      <c r="C9" s="8" t="s">
        <v>74</v>
      </c>
    </row>
    <row r="10" spans="2:11" ht="15.75" customHeight="1" x14ac:dyDescent="0.2">
      <c r="B10" s="3"/>
      <c r="C10" s="8" t="s">
        <v>100</v>
      </c>
    </row>
    <row r="11" spans="2:11" ht="15.75" customHeight="1" x14ac:dyDescent="0.2">
      <c r="B11" s="5"/>
      <c r="C11" s="8" t="s">
        <v>101</v>
      </c>
    </row>
    <row r="13" spans="2:11" x14ac:dyDescent="0.2">
      <c r="B13" s="6" t="s">
        <v>102</v>
      </c>
    </row>
    <row r="14" spans="2:11" x14ac:dyDescent="0.2">
      <c r="B14" s="7" t="s">
        <v>103</v>
      </c>
      <c r="D14" s="118" t="s">
        <v>106</v>
      </c>
    </row>
    <row r="15" spans="2:11" x14ac:dyDescent="0.2">
      <c r="D15" s="118" t="s">
        <v>107</v>
      </c>
    </row>
    <row r="16" spans="2:11" x14ac:dyDescent="0.2">
      <c r="B16" s="7" t="s">
        <v>104</v>
      </c>
      <c r="D16" s="7" t="s">
        <v>105</v>
      </c>
    </row>
    <row r="17" spans="2:4" x14ac:dyDescent="0.2">
      <c r="D17" s="118" t="s">
        <v>108</v>
      </c>
    </row>
    <row r="19" spans="2:4" x14ac:dyDescent="0.2">
      <c r="B19" s="6" t="s">
        <v>73</v>
      </c>
    </row>
    <row r="20" spans="2:4" x14ac:dyDescent="0.2">
      <c r="B20" s="7" t="s">
        <v>86</v>
      </c>
    </row>
  </sheetData>
  <mergeCells count="1">
    <mergeCell ref="B3:K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N88"/>
  <sheetViews>
    <sheetView tabSelected="1" topLeftCell="B1" zoomScale="80" zoomScaleNormal="80" workbookViewId="0">
      <selection activeCell="G11" sqref="G11"/>
    </sheetView>
  </sheetViews>
  <sheetFormatPr baseColWidth="10" defaultColWidth="11.28515625" defaultRowHeight="12.75" x14ac:dyDescent="0.2"/>
  <cols>
    <col min="1" max="1" width="11.28515625" style="4"/>
    <col min="2" max="2" width="20.28515625" style="12" customWidth="1"/>
    <col min="3" max="5" width="17.140625" style="12" customWidth="1"/>
    <col min="6" max="6" width="18.42578125" style="12" customWidth="1"/>
    <col min="7" max="8" width="11.28515625" style="12"/>
    <col min="9" max="9" width="19" style="12" customWidth="1"/>
    <col min="10" max="10" width="11.28515625" style="12"/>
    <col min="11" max="11" width="27.7109375" style="12" customWidth="1"/>
    <col min="12" max="12" width="17.7109375" style="12" customWidth="1"/>
    <col min="13" max="16384" width="11.28515625" style="12"/>
  </cols>
  <sheetData>
    <row r="1" spans="2:12" s="12" customFormat="1" ht="13.5" thickBot="1" x14ac:dyDescent="0.25"/>
    <row r="2" spans="2:12" s="12" customFormat="1" ht="21.2" customHeight="1" thickBot="1" x14ac:dyDescent="0.25">
      <c r="B2" s="93" t="s">
        <v>0</v>
      </c>
      <c r="C2" s="94"/>
      <c r="D2" s="94"/>
      <c r="E2" s="95"/>
    </row>
    <row r="3" spans="2:12" s="12" customFormat="1" ht="22.7" customHeight="1" x14ac:dyDescent="0.2">
      <c r="B3" s="13" t="s">
        <v>1</v>
      </c>
      <c r="C3" s="14" t="s">
        <v>77</v>
      </c>
      <c r="D3" s="15"/>
      <c r="E3" s="16"/>
    </row>
    <row r="4" spans="2:12" s="12" customFormat="1" x14ac:dyDescent="0.2">
      <c r="B4" s="17" t="s">
        <v>2</v>
      </c>
      <c r="C4" s="18">
        <v>273.95999999999998</v>
      </c>
      <c r="D4" s="19" t="s">
        <v>58</v>
      </c>
      <c r="E4" s="20">
        <v>0.1</v>
      </c>
    </row>
    <row r="5" spans="2:12" s="12" customFormat="1" ht="16.5" thickBot="1" x14ac:dyDescent="0.25">
      <c r="B5" s="21" t="s">
        <v>3</v>
      </c>
      <c r="C5" s="22">
        <v>244.1</v>
      </c>
      <c r="D5" s="23" t="s">
        <v>58</v>
      </c>
      <c r="E5" s="24">
        <v>0</v>
      </c>
    </row>
    <row r="6" spans="2:12" s="12" customFormat="1" ht="25.5" customHeight="1" thickBot="1" x14ac:dyDescent="0.25">
      <c r="B6" s="93" t="s">
        <v>4</v>
      </c>
      <c r="C6" s="94"/>
      <c r="D6" s="94"/>
      <c r="E6" s="95"/>
    </row>
    <row r="7" spans="2:12" s="12" customFormat="1" ht="21.2" customHeight="1" x14ac:dyDescent="0.2">
      <c r="B7" s="13" t="s">
        <v>5</v>
      </c>
      <c r="C7" s="25">
        <v>101325</v>
      </c>
      <c r="D7" s="26" t="s">
        <v>6</v>
      </c>
      <c r="E7" s="27">
        <v>1.204</v>
      </c>
      <c r="I7" s="28"/>
    </row>
    <row r="8" spans="2:12" s="12" customFormat="1" x14ac:dyDescent="0.2">
      <c r="B8" s="17" t="s">
        <v>7</v>
      </c>
      <c r="C8" s="29">
        <v>0</v>
      </c>
      <c r="D8" s="30"/>
      <c r="E8" s="31"/>
    </row>
    <row r="9" spans="2:12" s="12" customFormat="1" x14ac:dyDescent="0.2">
      <c r="B9" s="17" t="s">
        <v>8</v>
      </c>
      <c r="C9" s="29">
        <v>0</v>
      </c>
      <c r="D9" s="30"/>
      <c r="E9" s="16"/>
    </row>
    <row r="10" spans="2:12" s="12" customFormat="1" x14ac:dyDescent="0.2">
      <c r="B10" s="17" t="s">
        <v>9</v>
      </c>
      <c r="C10" s="32">
        <v>20</v>
      </c>
      <c r="D10" s="19" t="s">
        <v>10</v>
      </c>
      <c r="E10" s="33">
        <f>(C$7-0.37802*C8*EXP(59.484085-6790.4985/(C10+273.15)-5.02802*LN(C10+273.15)))/287.055/(C10+273.15)</f>
        <v>1.2040973427229398</v>
      </c>
    </row>
    <row r="11" spans="2:12" s="12" customFormat="1" ht="13.5" thickBot="1" x14ac:dyDescent="0.25">
      <c r="B11" s="21" t="s">
        <v>11</v>
      </c>
      <c r="C11" s="34">
        <v>10</v>
      </c>
      <c r="D11" s="23" t="s">
        <v>12</v>
      </c>
      <c r="E11" s="35">
        <f>(C$7-0.37802*C9*EXP(59.484085-6790.4985/(C11+273.15)-5.02802*LN(C11+273.15)))/287.055/(C11+273.15)</f>
        <v>1.2466224122169514</v>
      </c>
    </row>
    <row r="12" spans="2:12" s="12" customFormat="1" ht="30.2" customHeight="1" thickBot="1" x14ac:dyDescent="0.25">
      <c r="B12" s="93" t="s">
        <v>13</v>
      </c>
      <c r="C12" s="94"/>
      <c r="D12" s="94"/>
      <c r="E12" s="95"/>
    </row>
    <row r="13" spans="2:12" s="12" customFormat="1" ht="32.1" customHeight="1" x14ac:dyDescent="0.2">
      <c r="B13" s="13" t="s">
        <v>14</v>
      </c>
      <c r="C13" s="11">
        <v>3</v>
      </c>
      <c r="D13" s="36" t="s">
        <v>90</v>
      </c>
      <c r="E13" s="11" t="s">
        <v>91</v>
      </c>
    </row>
    <row r="14" spans="2:12" s="12" customFormat="1" ht="13.5" thickBot="1" x14ac:dyDescent="0.25">
      <c r="B14" s="21" t="s">
        <v>15</v>
      </c>
      <c r="C14" s="37">
        <v>7</v>
      </c>
      <c r="D14" s="15"/>
      <c r="E14" s="16"/>
    </row>
    <row r="15" spans="2:12" s="12" customFormat="1" ht="24" customHeight="1" thickBot="1" x14ac:dyDescent="0.25">
      <c r="B15" s="93" t="s">
        <v>16</v>
      </c>
      <c r="C15" s="94"/>
      <c r="D15" s="94"/>
      <c r="E15" s="95"/>
    </row>
    <row r="16" spans="2:12" s="41" customFormat="1" ht="21.2" customHeight="1" x14ac:dyDescent="0.2">
      <c r="B16" s="38"/>
      <c r="C16" s="39" t="s">
        <v>17</v>
      </c>
      <c r="D16" s="40"/>
      <c r="E16" s="39" t="s">
        <v>18</v>
      </c>
      <c r="K16" s="42" t="s">
        <v>64</v>
      </c>
      <c r="L16" s="42"/>
    </row>
    <row r="17" spans="2:12" s="12" customFormat="1" x14ac:dyDescent="0.2">
      <c r="B17" s="43"/>
      <c r="C17" s="44"/>
      <c r="D17" s="45"/>
      <c r="E17" s="44"/>
      <c r="F17" s="46" t="str">
        <f>IF(C17&gt;0,C17,"")</f>
        <v/>
      </c>
      <c r="G17" s="46" t="str">
        <f>IF(C17&lt;0,C17,"")</f>
        <v/>
      </c>
      <c r="H17" s="46" t="str">
        <f>IF(E17&gt;0,E17,"")</f>
        <v/>
      </c>
      <c r="I17" s="46" t="str">
        <f>IF(E17&lt;0,E17,"")</f>
        <v/>
      </c>
      <c r="K17" s="47" t="s">
        <v>19</v>
      </c>
      <c r="L17" s="47" t="s">
        <v>20</v>
      </c>
    </row>
    <row r="18" spans="2:12" s="12" customFormat="1" x14ac:dyDescent="0.2">
      <c r="B18" s="43"/>
      <c r="C18" s="44"/>
      <c r="D18" s="45"/>
      <c r="E18" s="44"/>
      <c r="F18" s="46" t="str">
        <f t="shared" ref="F18:F46" si="0">IF(C18&gt;0,C18,"")</f>
        <v/>
      </c>
      <c r="G18" s="46" t="str">
        <f t="shared" ref="G18:G46" si="1">IF(C18&lt;0,C18,"")</f>
        <v/>
      </c>
      <c r="H18" s="46" t="str">
        <f t="shared" ref="H18:H46" si="2">IF(E18&gt;0,E18,"")</f>
        <v/>
      </c>
      <c r="I18" s="46" t="str">
        <f t="shared" ref="I18:I46" si="3">IF(E18&lt;0,E18,"")</f>
        <v/>
      </c>
      <c r="K18" s="47">
        <v>1</v>
      </c>
      <c r="L18" s="47">
        <v>12.706</v>
      </c>
    </row>
    <row r="19" spans="2:12" s="12" customFormat="1" x14ac:dyDescent="0.2">
      <c r="B19" s="43"/>
      <c r="C19" s="44"/>
      <c r="D19" s="45"/>
      <c r="E19" s="44"/>
      <c r="F19" s="46" t="str">
        <f t="shared" si="0"/>
        <v/>
      </c>
      <c r="G19" s="46" t="str">
        <f t="shared" si="1"/>
        <v/>
      </c>
      <c r="H19" s="46" t="str">
        <f t="shared" si="2"/>
        <v/>
      </c>
      <c r="I19" s="46" t="str">
        <f t="shared" si="3"/>
        <v/>
      </c>
      <c r="K19" s="47">
        <v>2</v>
      </c>
      <c r="L19" s="47">
        <v>4.3026999999999997</v>
      </c>
    </row>
    <row r="20" spans="2:12" s="12" customFormat="1" x14ac:dyDescent="0.2">
      <c r="B20" s="43"/>
      <c r="C20" s="44"/>
      <c r="D20" s="45"/>
      <c r="E20" s="44"/>
      <c r="F20" s="46" t="str">
        <f t="shared" si="0"/>
        <v/>
      </c>
      <c r="G20" s="46" t="str">
        <f t="shared" si="1"/>
        <v/>
      </c>
      <c r="H20" s="46" t="str">
        <f t="shared" si="2"/>
        <v/>
      </c>
      <c r="I20" s="46" t="str">
        <f t="shared" si="3"/>
        <v/>
      </c>
      <c r="K20" s="47">
        <v>3</v>
      </c>
      <c r="L20" s="47">
        <v>3.1825000000000001</v>
      </c>
    </row>
    <row r="21" spans="2:12" s="12" customFormat="1" x14ac:dyDescent="0.2">
      <c r="B21" s="43"/>
      <c r="C21" s="44"/>
      <c r="D21" s="45"/>
      <c r="E21" s="44"/>
      <c r="F21" s="46" t="str">
        <f t="shared" si="0"/>
        <v/>
      </c>
      <c r="G21" s="46" t="str">
        <f t="shared" si="1"/>
        <v/>
      </c>
      <c r="H21" s="46" t="str">
        <f t="shared" si="2"/>
        <v/>
      </c>
      <c r="I21" s="46" t="str">
        <f t="shared" si="3"/>
        <v/>
      </c>
      <c r="K21" s="47">
        <v>4</v>
      </c>
      <c r="L21" s="47">
        <v>2.7764000000000002</v>
      </c>
    </row>
    <row r="22" spans="2:12" s="12" customFormat="1" x14ac:dyDescent="0.2">
      <c r="B22" s="43"/>
      <c r="C22" s="44"/>
      <c r="D22" s="45"/>
      <c r="E22" s="44"/>
      <c r="F22" s="46" t="str">
        <f t="shared" si="0"/>
        <v/>
      </c>
      <c r="G22" s="46" t="str">
        <f t="shared" si="1"/>
        <v/>
      </c>
      <c r="H22" s="46" t="str">
        <f t="shared" si="2"/>
        <v/>
      </c>
      <c r="I22" s="46" t="str">
        <f t="shared" si="3"/>
        <v/>
      </c>
      <c r="K22" s="47">
        <v>5</v>
      </c>
      <c r="L22" s="47">
        <v>2.5706000000000002</v>
      </c>
    </row>
    <row r="23" spans="2:12" s="12" customFormat="1" x14ac:dyDescent="0.2">
      <c r="B23" s="43"/>
      <c r="C23" s="44"/>
      <c r="D23" s="45"/>
      <c r="E23" s="44"/>
      <c r="F23" s="46" t="str">
        <f t="shared" si="0"/>
        <v/>
      </c>
      <c r="G23" s="46" t="str">
        <f t="shared" si="1"/>
        <v/>
      </c>
      <c r="H23" s="46" t="str">
        <f t="shared" si="2"/>
        <v/>
      </c>
      <c r="I23" s="46" t="str">
        <f t="shared" si="3"/>
        <v/>
      </c>
      <c r="K23" s="47">
        <v>6</v>
      </c>
      <c r="L23" s="47">
        <v>2.4468999999999999</v>
      </c>
    </row>
    <row r="24" spans="2:12" s="12" customFormat="1" x14ac:dyDescent="0.2">
      <c r="B24" s="43"/>
      <c r="C24" s="44"/>
      <c r="D24" s="45"/>
      <c r="E24" s="44"/>
      <c r="F24" s="46" t="str">
        <f t="shared" si="0"/>
        <v/>
      </c>
      <c r="G24" s="46" t="str">
        <f t="shared" si="1"/>
        <v/>
      </c>
      <c r="H24" s="46" t="str">
        <f t="shared" si="2"/>
        <v/>
      </c>
      <c r="I24" s="46" t="str">
        <f t="shared" si="3"/>
        <v/>
      </c>
      <c r="K24" s="47">
        <v>7</v>
      </c>
      <c r="L24" s="47">
        <v>2.3645999999999998</v>
      </c>
    </row>
    <row r="25" spans="2:12" s="12" customFormat="1" x14ac:dyDescent="0.2">
      <c r="B25" s="43"/>
      <c r="C25" s="44"/>
      <c r="D25" s="45"/>
      <c r="E25" s="44"/>
      <c r="F25" s="46" t="str">
        <f t="shared" si="0"/>
        <v/>
      </c>
      <c r="G25" s="46" t="str">
        <f t="shared" si="1"/>
        <v/>
      </c>
      <c r="H25" s="46" t="str">
        <f t="shared" si="2"/>
        <v/>
      </c>
      <c r="I25" s="46" t="str">
        <f t="shared" si="3"/>
        <v/>
      </c>
      <c r="K25" s="47">
        <v>8</v>
      </c>
      <c r="L25" s="47">
        <v>2.306</v>
      </c>
    </row>
    <row r="26" spans="2:12" s="12" customFormat="1" x14ac:dyDescent="0.2">
      <c r="B26" s="43"/>
      <c r="C26" s="44"/>
      <c r="D26" s="45"/>
      <c r="E26" s="44"/>
      <c r="F26" s="46" t="str">
        <f t="shared" si="0"/>
        <v/>
      </c>
      <c r="G26" s="46" t="str">
        <f t="shared" si="1"/>
        <v/>
      </c>
      <c r="H26" s="46" t="str">
        <f t="shared" si="2"/>
        <v/>
      </c>
      <c r="I26" s="46" t="str">
        <f t="shared" si="3"/>
        <v/>
      </c>
      <c r="K26" s="47">
        <v>9</v>
      </c>
      <c r="L26" s="47">
        <v>2.2622</v>
      </c>
    </row>
    <row r="27" spans="2:12" s="12" customFormat="1" x14ac:dyDescent="0.2">
      <c r="B27" s="43"/>
      <c r="C27" s="44"/>
      <c r="D27" s="45"/>
      <c r="E27" s="44"/>
      <c r="F27" s="46" t="str">
        <f t="shared" si="0"/>
        <v/>
      </c>
      <c r="G27" s="46" t="str">
        <f t="shared" si="1"/>
        <v/>
      </c>
      <c r="H27" s="46" t="str">
        <f t="shared" si="2"/>
        <v/>
      </c>
      <c r="I27" s="46" t="str">
        <f t="shared" si="3"/>
        <v/>
      </c>
      <c r="K27" s="47">
        <v>10</v>
      </c>
      <c r="L27" s="47">
        <v>2.2281</v>
      </c>
    </row>
    <row r="28" spans="2:12" s="12" customFormat="1" x14ac:dyDescent="0.2">
      <c r="B28" s="43"/>
      <c r="C28" s="44"/>
      <c r="D28" s="45"/>
      <c r="E28" s="44"/>
      <c r="F28" s="46" t="str">
        <f t="shared" si="0"/>
        <v/>
      </c>
      <c r="G28" s="46" t="str">
        <f t="shared" si="1"/>
        <v/>
      </c>
      <c r="H28" s="46" t="str">
        <f t="shared" si="2"/>
        <v/>
      </c>
      <c r="I28" s="46" t="str">
        <f t="shared" si="3"/>
        <v/>
      </c>
      <c r="K28" s="48"/>
      <c r="L28" s="48"/>
    </row>
    <row r="29" spans="2:12" s="12" customFormat="1" x14ac:dyDescent="0.2">
      <c r="B29" s="43"/>
      <c r="C29" s="44"/>
      <c r="D29" s="45"/>
      <c r="E29" s="44"/>
      <c r="F29" s="46" t="str">
        <f t="shared" si="0"/>
        <v/>
      </c>
      <c r="G29" s="46" t="str">
        <f t="shared" si="1"/>
        <v/>
      </c>
      <c r="H29" s="46" t="str">
        <f t="shared" si="2"/>
        <v/>
      </c>
      <c r="I29" s="46" t="str">
        <f t="shared" si="3"/>
        <v/>
      </c>
      <c r="K29" s="48" t="s">
        <v>21</v>
      </c>
      <c r="L29" s="48">
        <f>VLOOKUP(C14-2,K18:L27,2,FALSE)</f>
        <v>2.5706000000000002</v>
      </c>
    </row>
    <row r="30" spans="2:12" s="12" customFormat="1" x14ac:dyDescent="0.2">
      <c r="B30" s="43"/>
      <c r="C30" s="44"/>
      <c r="D30" s="45"/>
      <c r="E30" s="44"/>
      <c r="F30" s="46" t="str">
        <f t="shared" si="0"/>
        <v/>
      </c>
      <c r="G30" s="46" t="str">
        <f t="shared" si="1"/>
        <v/>
      </c>
      <c r="H30" s="46" t="str">
        <f t="shared" si="2"/>
        <v/>
      </c>
      <c r="I30" s="46" t="str">
        <f t="shared" si="3"/>
        <v/>
      </c>
    </row>
    <row r="31" spans="2:12" s="12" customFormat="1" x14ac:dyDescent="0.2">
      <c r="B31" s="43"/>
      <c r="C31" s="44"/>
      <c r="D31" s="45"/>
      <c r="E31" s="44"/>
      <c r="F31" s="46" t="str">
        <f t="shared" si="0"/>
        <v/>
      </c>
      <c r="G31" s="46" t="str">
        <f t="shared" si="1"/>
        <v/>
      </c>
      <c r="H31" s="46" t="str">
        <f t="shared" si="2"/>
        <v/>
      </c>
      <c r="I31" s="46" t="str">
        <f t="shared" si="3"/>
        <v/>
      </c>
    </row>
    <row r="32" spans="2:12" s="12" customFormat="1" x14ac:dyDescent="0.2">
      <c r="B32" s="43"/>
      <c r="C32" s="44"/>
      <c r="D32" s="45"/>
      <c r="E32" s="44"/>
      <c r="F32" s="46" t="str">
        <f t="shared" si="0"/>
        <v/>
      </c>
      <c r="G32" s="46" t="str">
        <f t="shared" si="1"/>
        <v/>
      </c>
      <c r="H32" s="46" t="str">
        <f t="shared" si="2"/>
        <v/>
      </c>
      <c r="I32" s="46" t="str">
        <f t="shared" si="3"/>
        <v/>
      </c>
    </row>
    <row r="33" spans="2:9" s="12" customFormat="1" x14ac:dyDescent="0.2">
      <c r="B33" s="43"/>
      <c r="C33" s="44"/>
      <c r="D33" s="45"/>
      <c r="E33" s="44"/>
      <c r="F33" s="46" t="str">
        <f t="shared" si="0"/>
        <v/>
      </c>
      <c r="G33" s="46" t="str">
        <f t="shared" si="1"/>
        <v/>
      </c>
      <c r="H33" s="46" t="str">
        <f t="shared" si="2"/>
        <v/>
      </c>
      <c r="I33" s="46" t="str">
        <f t="shared" si="3"/>
        <v/>
      </c>
    </row>
    <row r="34" spans="2:9" s="12" customFormat="1" x14ac:dyDescent="0.2">
      <c r="B34" s="43"/>
      <c r="C34" s="44"/>
      <c r="D34" s="45"/>
      <c r="E34" s="44"/>
      <c r="F34" s="46" t="str">
        <f t="shared" si="0"/>
        <v/>
      </c>
      <c r="G34" s="46" t="str">
        <f t="shared" si="1"/>
        <v/>
      </c>
      <c r="H34" s="46" t="str">
        <f t="shared" si="2"/>
        <v/>
      </c>
      <c r="I34" s="46" t="str">
        <f t="shared" si="3"/>
        <v/>
      </c>
    </row>
    <row r="35" spans="2:9" s="12" customFormat="1" x14ac:dyDescent="0.2">
      <c r="B35" s="43"/>
      <c r="C35" s="44"/>
      <c r="D35" s="45"/>
      <c r="E35" s="44"/>
      <c r="F35" s="46" t="str">
        <f t="shared" si="0"/>
        <v/>
      </c>
      <c r="G35" s="46" t="str">
        <f t="shared" si="1"/>
        <v/>
      </c>
      <c r="H35" s="46" t="str">
        <f t="shared" si="2"/>
        <v/>
      </c>
      <c r="I35" s="46" t="str">
        <f t="shared" si="3"/>
        <v/>
      </c>
    </row>
    <row r="36" spans="2:9" s="12" customFormat="1" ht="10.5" customHeight="1" x14ac:dyDescent="0.2">
      <c r="B36" s="43"/>
      <c r="C36" s="44"/>
      <c r="D36" s="45"/>
      <c r="E36" s="44"/>
      <c r="F36" s="46" t="str">
        <f t="shared" si="0"/>
        <v/>
      </c>
      <c r="G36" s="46" t="str">
        <f t="shared" si="1"/>
        <v/>
      </c>
      <c r="H36" s="46" t="str">
        <f t="shared" si="2"/>
        <v/>
      </c>
      <c r="I36" s="46" t="str">
        <f t="shared" si="3"/>
        <v/>
      </c>
    </row>
    <row r="37" spans="2:9" s="12" customFormat="1" x14ac:dyDescent="0.2">
      <c r="B37" s="43"/>
      <c r="C37" s="44"/>
      <c r="D37" s="45"/>
      <c r="E37" s="44"/>
      <c r="F37" s="46" t="str">
        <f t="shared" si="0"/>
        <v/>
      </c>
      <c r="G37" s="46" t="str">
        <f t="shared" si="1"/>
        <v/>
      </c>
      <c r="H37" s="46" t="str">
        <f t="shared" si="2"/>
        <v/>
      </c>
      <c r="I37" s="46" t="str">
        <f t="shared" si="3"/>
        <v/>
      </c>
    </row>
    <row r="38" spans="2:9" s="12" customFormat="1" x14ac:dyDescent="0.2">
      <c r="B38" s="43"/>
      <c r="C38" s="44"/>
      <c r="D38" s="45"/>
      <c r="E38" s="44"/>
      <c r="F38" s="46" t="str">
        <f t="shared" si="0"/>
        <v/>
      </c>
      <c r="G38" s="46" t="str">
        <f t="shared" si="1"/>
        <v/>
      </c>
      <c r="H38" s="46" t="str">
        <f t="shared" si="2"/>
        <v/>
      </c>
      <c r="I38" s="46" t="str">
        <f t="shared" si="3"/>
        <v/>
      </c>
    </row>
    <row r="39" spans="2:9" s="12" customFormat="1" x14ac:dyDescent="0.2">
      <c r="B39" s="43"/>
      <c r="C39" s="44"/>
      <c r="D39" s="45"/>
      <c r="E39" s="44"/>
      <c r="F39" s="46" t="str">
        <f t="shared" si="0"/>
        <v/>
      </c>
      <c r="G39" s="46" t="str">
        <f t="shared" si="1"/>
        <v/>
      </c>
      <c r="H39" s="46" t="str">
        <f t="shared" si="2"/>
        <v/>
      </c>
      <c r="I39" s="46" t="str">
        <f t="shared" si="3"/>
        <v/>
      </c>
    </row>
    <row r="40" spans="2:9" s="12" customFormat="1" x14ac:dyDescent="0.2">
      <c r="B40" s="43"/>
      <c r="C40" s="44"/>
      <c r="D40" s="45"/>
      <c r="E40" s="44"/>
      <c r="F40" s="46" t="str">
        <f t="shared" si="0"/>
        <v/>
      </c>
      <c r="G40" s="46" t="str">
        <f t="shared" si="1"/>
        <v/>
      </c>
      <c r="H40" s="46" t="str">
        <f t="shared" si="2"/>
        <v/>
      </c>
      <c r="I40" s="46" t="str">
        <f t="shared" si="3"/>
        <v/>
      </c>
    </row>
    <row r="41" spans="2:9" s="12" customFormat="1" x14ac:dyDescent="0.2">
      <c r="B41" s="43"/>
      <c r="C41" s="44"/>
      <c r="D41" s="45"/>
      <c r="E41" s="44"/>
      <c r="F41" s="46" t="str">
        <f t="shared" si="0"/>
        <v/>
      </c>
      <c r="G41" s="46" t="str">
        <f t="shared" si="1"/>
        <v/>
      </c>
      <c r="H41" s="46" t="str">
        <f t="shared" si="2"/>
        <v/>
      </c>
      <c r="I41" s="46" t="str">
        <f t="shared" si="3"/>
        <v/>
      </c>
    </row>
    <row r="42" spans="2:9" s="12" customFormat="1" x14ac:dyDescent="0.2">
      <c r="B42" s="43"/>
      <c r="C42" s="44"/>
      <c r="D42" s="45"/>
      <c r="E42" s="44"/>
      <c r="F42" s="46" t="str">
        <f t="shared" si="0"/>
        <v/>
      </c>
      <c r="G42" s="46" t="str">
        <f t="shared" si="1"/>
        <v/>
      </c>
      <c r="H42" s="46" t="str">
        <f t="shared" si="2"/>
        <v/>
      </c>
      <c r="I42" s="46" t="str">
        <f t="shared" si="3"/>
        <v/>
      </c>
    </row>
    <row r="43" spans="2:9" s="12" customFormat="1" x14ac:dyDescent="0.2">
      <c r="B43" s="43"/>
      <c r="C43" s="44"/>
      <c r="D43" s="45"/>
      <c r="E43" s="44"/>
      <c r="F43" s="46" t="str">
        <f t="shared" si="0"/>
        <v/>
      </c>
      <c r="G43" s="46" t="str">
        <f t="shared" si="1"/>
        <v/>
      </c>
      <c r="H43" s="46" t="str">
        <f t="shared" si="2"/>
        <v/>
      </c>
      <c r="I43" s="46" t="str">
        <f t="shared" si="3"/>
        <v/>
      </c>
    </row>
    <row r="44" spans="2:9" s="12" customFormat="1" x14ac:dyDescent="0.2">
      <c r="B44" s="43"/>
      <c r="C44" s="44"/>
      <c r="D44" s="45"/>
      <c r="E44" s="44"/>
      <c r="F44" s="46" t="str">
        <f t="shared" si="0"/>
        <v/>
      </c>
      <c r="G44" s="46" t="str">
        <f t="shared" si="1"/>
        <v/>
      </c>
      <c r="H44" s="46" t="str">
        <f t="shared" si="2"/>
        <v/>
      </c>
      <c r="I44" s="46" t="str">
        <f t="shared" si="3"/>
        <v/>
      </c>
    </row>
    <row r="45" spans="2:9" s="12" customFormat="1" x14ac:dyDescent="0.2">
      <c r="B45" s="43"/>
      <c r="C45" s="44"/>
      <c r="D45" s="45"/>
      <c r="E45" s="44"/>
      <c r="F45" s="46" t="str">
        <f t="shared" si="0"/>
        <v/>
      </c>
      <c r="G45" s="46" t="str">
        <f t="shared" si="1"/>
        <v/>
      </c>
      <c r="H45" s="46" t="str">
        <f t="shared" si="2"/>
        <v/>
      </c>
      <c r="I45" s="46" t="str">
        <f t="shared" si="3"/>
        <v/>
      </c>
    </row>
    <row r="46" spans="2:9" s="12" customFormat="1" x14ac:dyDescent="0.2">
      <c r="B46" s="43"/>
      <c r="C46" s="44">
        <v>-0.8</v>
      </c>
      <c r="D46" s="45"/>
      <c r="E46" s="49">
        <v>-0.7</v>
      </c>
      <c r="F46" s="46" t="str">
        <f t="shared" si="0"/>
        <v/>
      </c>
      <c r="G46" s="46">
        <f t="shared" si="1"/>
        <v>-0.8</v>
      </c>
      <c r="H46" s="46" t="str">
        <f t="shared" si="2"/>
        <v/>
      </c>
      <c r="I46" s="46">
        <f t="shared" si="3"/>
        <v>-0.7</v>
      </c>
    </row>
    <row r="47" spans="2:9" s="12" customFormat="1" x14ac:dyDescent="0.2">
      <c r="B47" s="50" t="s">
        <v>22</v>
      </c>
      <c r="C47" s="51">
        <f>IF(COUNTBLANK(F17:F46)=30,0,AVERAGE(F17:F46))</f>
        <v>0</v>
      </c>
      <c r="D47" s="50" t="s">
        <v>23</v>
      </c>
      <c r="E47" s="51">
        <f>IF(COUNTBLANK(H17:H46)=30,0,AVERAGE(H17:H46))</f>
        <v>0</v>
      </c>
    </row>
    <row r="48" spans="2:9" s="12" customFormat="1" x14ac:dyDescent="0.2">
      <c r="B48" s="50" t="s">
        <v>24</v>
      </c>
      <c r="C48" s="51">
        <f>IF(COUNTBLANK(G17:G46)=30,0,AVERAGE(G17:G46))</f>
        <v>-0.8</v>
      </c>
      <c r="D48" s="50" t="s">
        <v>25</v>
      </c>
      <c r="E48" s="51">
        <f>IF(COUNTBLANK(I17:I46)=30,0,AVERAGE(I17:I46))</f>
        <v>-0.7</v>
      </c>
    </row>
    <row r="49" spans="2:14" s="12" customFormat="1" x14ac:dyDescent="0.2">
      <c r="B49" s="50" t="s">
        <v>26</v>
      </c>
      <c r="C49" s="51">
        <f>AVERAGE(C17:C46)</f>
        <v>-0.8</v>
      </c>
      <c r="D49" s="50" t="s">
        <v>27</v>
      </c>
      <c r="E49" s="51">
        <f>AVERAGE(E17:E46)</f>
        <v>-0.7</v>
      </c>
    </row>
    <row r="50" spans="2:14" s="12" customFormat="1" ht="13.5" thickBot="1" x14ac:dyDescent="0.25">
      <c r="B50" s="52"/>
      <c r="C50" s="19" t="s">
        <v>28</v>
      </c>
      <c r="D50" s="53">
        <f>+(C49+E49)/2</f>
        <v>-0.75</v>
      </c>
      <c r="E50" s="54"/>
    </row>
    <row r="51" spans="2:14" s="12" customFormat="1" ht="28.5" customHeight="1" x14ac:dyDescent="0.2">
      <c r="B51" s="102" t="s">
        <v>66</v>
      </c>
      <c r="C51" s="105"/>
      <c r="D51" s="55"/>
      <c r="E51" s="55"/>
    </row>
    <row r="52" spans="2:14" s="59" customFormat="1" ht="38.25" x14ac:dyDescent="0.2">
      <c r="B52" s="56" t="s">
        <v>29</v>
      </c>
      <c r="C52" s="57" t="s">
        <v>87</v>
      </c>
      <c r="D52" s="57" t="s">
        <v>92</v>
      </c>
      <c r="E52" s="56" t="s">
        <v>30</v>
      </c>
      <c r="F52" s="81" t="s">
        <v>93</v>
      </c>
      <c r="G52" s="58" t="s">
        <v>67</v>
      </c>
      <c r="H52" s="58" t="s">
        <v>31</v>
      </c>
      <c r="I52" s="58" t="s">
        <v>32</v>
      </c>
      <c r="J52" s="58" t="s">
        <v>33</v>
      </c>
      <c r="K52" s="58" t="s">
        <v>34</v>
      </c>
      <c r="L52" s="58" t="s">
        <v>35</v>
      </c>
      <c r="M52" s="58" t="s">
        <v>36</v>
      </c>
      <c r="N52" s="58" t="s">
        <v>37</v>
      </c>
    </row>
    <row r="53" spans="2:14" s="12" customFormat="1" x14ac:dyDescent="0.2">
      <c r="B53" s="60">
        <v>-10.7</v>
      </c>
      <c r="C53" s="61">
        <v>242.5</v>
      </c>
      <c r="D53" s="62">
        <f t="shared" ref="D53:D65" si="4">IF($E$13="","",IF($E$13="D",IF(B53="","",+C53*(1.204/$E$10)^0.5),IF($E$13="P",IF(B53="","",+C53*(1.204/$E$11)^0.5),"")))</f>
        <v>242.49019760006888</v>
      </c>
      <c r="E53" s="62">
        <f t="shared" ref="E53:E65" si="5">IF(B53="","",B53-D$50)</f>
        <v>-9.9499999999999993</v>
      </c>
      <c r="F53" s="62">
        <f>IF(D53="","",IF($E$13="D",D53*(273.15+C$11)/(C$10+273.15),D53*(273.15+C$10)/(273.15+C$11)))</f>
        <v>234.21831639249362</v>
      </c>
      <c r="G53" s="62">
        <f>IF(E53="","",LN(ABS(E53)))</f>
        <v>2.2975725511705014</v>
      </c>
      <c r="H53" s="62">
        <f t="shared" ref="H53:H65" si="6">IF(G53="","",G53-G$67)</f>
        <v>-1.0883210883024979</v>
      </c>
      <c r="I53" s="62">
        <f>IF(H53="","",H53^2)</f>
        <v>1.1844427912439333</v>
      </c>
      <c r="J53" s="62">
        <f>IF(F53="","",LN(F53))</f>
        <v>5.4562536564423691</v>
      </c>
      <c r="K53" s="62">
        <f t="shared" ref="K53:K65" si="7">IF(J53="","",J53-J$67)</f>
        <v>-0.73864260303335172</v>
      </c>
      <c r="L53" s="62">
        <f>IF(K53="","",K53^2)</f>
        <v>0.54559289501588559</v>
      </c>
      <c r="M53" s="62">
        <f>IF(H53="","",H53*K53)</f>
        <v>0.80388032159984724</v>
      </c>
      <c r="N53" s="62">
        <f>IF(G53="","",G53^2)</f>
        <v>5.2788396278921264</v>
      </c>
    </row>
    <row r="54" spans="2:14" s="12" customFormat="1" x14ac:dyDescent="0.2">
      <c r="B54" s="60">
        <v>-18.7</v>
      </c>
      <c r="C54" s="61">
        <v>366.4</v>
      </c>
      <c r="D54" s="62">
        <f t="shared" si="4"/>
        <v>366.38518928109374</v>
      </c>
      <c r="E54" s="62">
        <f t="shared" si="5"/>
        <v>-17.95</v>
      </c>
      <c r="F54" s="62">
        <f t="shared" ref="F54:F65" si="8">IF(D54="","",IF($E$13="D",D54*(273.15+C$11)/(C$10+273.15),D54*(273.15+C$10)/(273.15+C$11)))</f>
        <v>353.8869737163285</v>
      </c>
      <c r="G54" s="62">
        <f t="shared" ref="G54:G60" si="9">IF(E54="","",LN(ABS(E54)))</f>
        <v>2.8875901149342877</v>
      </c>
      <c r="H54" s="62">
        <f t="shared" si="6"/>
        <v>-0.49830352453871152</v>
      </c>
      <c r="I54" s="62">
        <f t="shared" ref="I54:I65" si="10">IF(H54="","",H54^2)</f>
        <v>0.24830640256770228</v>
      </c>
      <c r="J54" s="62">
        <f t="shared" ref="J54:J60" si="11">IF(F54="","",LN(F54))</f>
        <v>5.868977578864806</v>
      </c>
      <c r="K54" s="62">
        <f t="shared" si="7"/>
        <v>-0.32591868061091489</v>
      </c>
      <c r="L54" s="62">
        <f t="shared" ref="L54:L65" si="12">IF(K54="","",K54^2)</f>
        <v>0.10622298637115955</v>
      </c>
      <c r="M54" s="62">
        <f t="shared" ref="M54:M60" si="13">IF(H54="","",H54*K54)</f>
        <v>0.16240642726142551</v>
      </c>
      <c r="N54" s="62">
        <f t="shared" ref="N54:N60" si="14">IF(G54="","",G54^2)</f>
        <v>8.3381766718662131</v>
      </c>
    </row>
    <row r="55" spans="2:14" s="12" customFormat="1" x14ac:dyDescent="0.2">
      <c r="B55" s="60">
        <v>-26.8</v>
      </c>
      <c r="C55" s="61">
        <v>471.7</v>
      </c>
      <c r="D55" s="62">
        <f t="shared" si="4"/>
        <v>471.68093281629893</v>
      </c>
      <c r="E55" s="62">
        <f t="shared" si="5"/>
        <v>-26.05</v>
      </c>
      <c r="F55" s="62">
        <f t="shared" si="8"/>
        <v>455.59084471067723</v>
      </c>
      <c r="G55" s="62">
        <f t="shared" si="9"/>
        <v>3.2600177681993761</v>
      </c>
      <c r="H55" s="62">
        <f t="shared" si="6"/>
        <v>-0.12587587127362321</v>
      </c>
      <c r="I55" s="62">
        <f t="shared" si="10"/>
        <v>1.584473496889376E-2</v>
      </c>
      <c r="J55" s="62">
        <f t="shared" si="11"/>
        <v>6.1215951363550465</v>
      </c>
      <c r="K55" s="62">
        <f t="shared" si="7"/>
        <v>-7.3301123120674383E-2</v>
      </c>
      <c r="L55" s="62">
        <f t="shared" si="12"/>
        <v>5.3730546507522649E-3</v>
      </c>
      <c r="M55" s="62">
        <f t="shared" si="13"/>
        <v>9.2268427381500141E-3</v>
      </c>
      <c r="N55" s="62">
        <f t="shared" si="14"/>
        <v>10.62771584897564</v>
      </c>
    </row>
    <row r="56" spans="2:14" s="12" customFormat="1" x14ac:dyDescent="0.2">
      <c r="B56" s="60">
        <v>-34.799999999999997</v>
      </c>
      <c r="C56" s="61">
        <v>553</v>
      </c>
      <c r="D56" s="62">
        <f t="shared" si="4"/>
        <v>552.97764648593034</v>
      </c>
      <c r="E56" s="62">
        <f t="shared" si="5"/>
        <v>-34.049999999999997</v>
      </c>
      <c r="F56" s="62">
        <f t="shared" si="8"/>
        <v>534.11434624762467</v>
      </c>
      <c r="G56" s="62">
        <f t="shared" si="9"/>
        <v>3.5278300325955212</v>
      </c>
      <c r="H56" s="62">
        <f t="shared" si="6"/>
        <v>0.14193639312252193</v>
      </c>
      <c r="I56" s="62">
        <f t="shared" si="10"/>
        <v>2.0145939692631089E-2</v>
      </c>
      <c r="J56" s="62">
        <f t="shared" si="11"/>
        <v>6.2806099475871653</v>
      </c>
      <c r="K56" s="62">
        <f t="shared" si="7"/>
        <v>8.5713688111444419E-2</v>
      </c>
      <c r="L56" s="62">
        <f t="shared" si="12"/>
        <v>7.3468363296659688E-3</v>
      </c>
      <c r="M56" s="62">
        <f t="shared" si="13"/>
        <v>1.2165891731767209E-2</v>
      </c>
      <c r="N56" s="62">
        <f t="shared" si="14"/>
        <v>12.445584738882916</v>
      </c>
    </row>
    <row r="57" spans="2:14" s="12" customFormat="1" x14ac:dyDescent="0.2">
      <c r="B57" s="60">
        <v>-42.3</v>
      </c>
      <c r="C57" s="61">
        <v>639.6</v>
      </c>
      <c r="D57" s="62">
        <f t="shared" si="4"/>
        <v>639.57414591754252</v>
      </c>
      <c r="E57" s="62">
        <f t="shared" si="5"/>
        <v>-41.55</v>
      </c>
      <c r="F57" s="62">
        <f t="shared" si="8"/>
        <v>617.7568460397481</v>
      </c>
      <c r="G57" s="62">
        <f t="shared" si="9"/>
        <v>3.7268975213014572</v>
      </c>
      <c r="H57" s="62">
        <f t="shared" si="6"/>
        <v>0.34100388182845798</v>
      </c>
      <c r="I57" s="62">
        <f t="shared" si="10"/>
        <v>0.11628364742207693</v>
      </c>
      <c r="J57" s="62">
        <f t="shared" si="11"/>
        <v>6.4260949270246304</v>
      </c>
      <c r="K57" s="62">
        <f t="shared" si="7"/>
        <v>0.2311986675489095</v>
      </c>
      <c r="L57" s="62">
        <f t="shared" si="12"/>
        <v>5.3452823876391178E-2</v>
      </c>
      <c r="M57" s="62">
        <f t="shared" si="13"/>
        <v>7.8839643107745272E-2</v>
      </c>
      <c r="N57" s="62">
        <f t="shared" si="14"/>
        <v>13.889765134282946</v>
      </c>
    </row>
    <row r="58" spans="2:14" s="12" customFormat="1" x14ac:dyDescent="0.2">
      <c r="B58" s="60">
        <v>-51.3</v>
      </c>
      <c r="C58" s="61">
        <v>726.8</v>
      </c>
      <c r="D58" s="62">
        <f t="shared" si="4"/>
        <v>726.77062109579401</v>
      </c>
      <c r="E58" s="62">
        <f t="shared" si="5"/>
        <v>-50.55</v>
      </c>
      <c r="F58" s="62">
        <f t="shared" si="8"/>
        <v>701.97885506830664</v>
      </c>
      <c r="G58" s="62">
        <f t="shared" si="9"/>
        <v>3.9229629454664803</v>
      </c>
      <c r="H58" s="62">
        <f t="shared" si="6"/>
        <v>0.53706930599348102</v>
      </c>
      <c r="I58" s="62">
        <f t="shared" si="10"/>
        <v>0.28844343944031936</v>
      </c>
      <c r="J58" s="62">
        <f t="shared" si="11"/>
        <v>6.5539032825868473</v>
      </c>
      <c r="K58" s="62">
        <f t="shared" si="7"/>
        <v>0.35900702311112642</v>
      </c>
      <c r="L58" s="62">
        <f t="shared" si="12"/>
        <v>0.12888604264311287</v>
      </c>
      <c r="M58" s="62">
        <f t="shared" si="13"/>
        <v>0.19281165274907827</v>
      </c>
      <c r="N58" s="62">
        <f t="shared" si="14"/>
        <v>15.389638271503042</v>
      </c>
    </row>
    <row r="59" spans="2:14" s="12" customFormat="1" x14ac:dyDescent="0.2">
      <c r="B59" s="60">
        <v>-59.8</v>
      </c>
      <c r="C59" s="61">
        <v>805.6</v>
      </c>
      <c r="D59" s="62">
        <f t="shared" si="4"/>
        <v>805.56743582109493</v>
      </c>
      <c r="E59" s="62">
        <f t="shared" si="5"/>
        <v>-59.05</v>
      </c>
      <c r="F59" s="62">
        <f t="shared" si="8"/>
        <v>778.08773478677483</v>
      </c>
      <c r="G59" s="62">
        <f t="shared" si="9"/>
        <v>4.0783845426433709</v>
      </c>
      <c r="H59" s="62">
        <f t="shared" si="6"/>
        <v>0.69249090317037165</v>
      </c>
      <c r="I59" s="62">
        <f t="shared" si="10"/>
        <v>0.47954365097371704</v>
      </c>
      <c r="J59" s="62">
        <f t="shared" si="11"/>
        <v>6.6568392874691833</v>
      </c>
      <c r="K59" s="62">
        <f t="shared" si="7"/>
        <v>0.46194302799346243</v>
      </c>
      <c r="L59" s="62">
        <f t="shared" si="12"/>
        <v>0.21339136111176882</v>
      </c>
      <c r="M59" s="62">
        <f t="shared" si="13"/>
        <v>0.3198913446684491</v>
      </c>
      <c r="N59" s="62">
        <f t="shared" si="14"/>
        <v>16.633220477672378</v>
      </c>
    </row>
    <row r="60" spans="2:14" s="12" customFormat="1" x14ac:dyDescent="0.2">
      <c r="B60" s="60"/>
      <c r="C60" s="61"/>
      <c r="D60" s="62" t="str">
        <f t="shared" si="4"/>
        <v/>
      </c>
      <c r="E60" s="62" t="str">
        <f t="shared" si="5"/>
        <v/>
      </c>
      <c r="F60" s="62" t="str">
        <f t="shared" si="8"/>
        <v/>
      </c>
      <c r="G60" s="62" t="str">
        <f t="shared" si="9"/>
        <v/>
      </c>
      <c r="H60" s="62" t="str">
        <f t="shared" si="6"/>
        <v/>
      </c>
      <c r="I60" s="62" t="str">
        <f t="shared" si="10"/>
        <v/>
      </c>
      <c r="J60" s="62" t="str">
        <f t="shared" si="11"/>
        <v/>
      </c>
      <c r="K60" s="62" t="str">
        <f t="shared" si="7"/>
        <v/>
      </c>
      <c r="L60" s="62" t="str">
        <f t="shared" si="12"/>
        <v/>
      </c>
      <c r="M60" s="62" t="str">
        <f t="shared" si="13"/>
        <v/>
      </c>
      <c r="N60" s="62" t="str">
        <f t="shared" si="14"/>
        <v/>
      </c>
    </row>
    <row r="61" spans="2:14" s="12" customFormat="1" x14ac:dyDescent="0.2">
      <c r="B61" s="60"/>
      <c r="C61" s="61"/>
      <c r="D61" s="62" t="str">
        <f t="shared" si="4"/>
        <v/>
      </c>
      <c r="E61" s="62" t="str">
        <f t="shared" si="5"/>
        <v/>
      </c>
      <c r="F61" s="62" t="str">
        <f t="shared" si="8"/>
        <v/>
      </c>
      <c r="G61" s="62" t="str">
        <f>IF(E61="","",LN(ABS(E61)))</f>
        <v/>
      </c>
      <c r="H61" s="62" t="str">
        <f t="shared" si="6"/>
        <v/>
      </c>
      <c r="I61" s="62" t="str">
        <f t="shared" si="10"/>
        <v/>
      </c>
      <c r="J61" s="62" t="str">
        <f>IF(F61="","",LN(F61))</f>
        <v/>
      </c>
      <c r="K61" s="62" t="str">
        <f t="shared" si="7"/>
        <v/>
      </c>
      <c r="L61" s="62" t="str">
        <f t="shared" si="12"/>
        <v/>
      </c>
      <c r="M61" s="62" t="str">
        <f>IF(H61="","",H61*K61)</f>
        <v/>
      </c>
      <c r="N61" s="62" t="str">
        <f>IF(G61="","",G61^2)</f>
        <v/>
      </c>
    </row>
    <row r="62" spans="2:14" s="12" customFormat="1" x14ac:dyDescent="0.2">
      <c r="B62" s="60"/>
      <c r="C62" s="61"/>
      <c r="D62" s="62" t="str">
        <f t="shared" si="4"/>
        <v/>
      </c>
      <c r="E62" s="62" t="str">
        <f t="shared" si="5"/>
        <v/>
      </c>
      <c r="F62" s="62" t="str">
        <f t="shared" si="8"/>
        <v/>
      </c>
      <c r="G62" s="62" t="str">
        <f>IF(E62="","",LN(ABS(E62)))</f>
        <v/>
      </c>
      <c r="H62" s="62" t="str">
        <f t="shared" si="6"/>
        <v/>
      </c>
      <c r="I62" s="62" t="str">
        <f t="shared" si="10"/>
        <v/>
      </c>
      <c r="J62" s="62" t="str">
        <f>IF(F62="","",LN(F62))</f>
        <v/>
      </c>
      <c r="K62" s="62" t="str">
        <f t="shared" si="7"/>
        <v/>
      </c>
      <c r="L62" s="62" t="str">
        <f t="shared" si="12"/>
        <v/>
      </c>
      <c r="M62" s="62" t="str">
        <f>IF(H62="","",H62*K62)</f>
        <v/>
      </c>
      <c r="N62" s="62" t="str">
        <f>IF(G62="","",G62^2)</f>
        <v/>
      </c>
    </row>
    <row r="63" spans="2:14" s="12" customFormat="1" x14ac:dyDescent="0.2">
      <c r="B63" s="60"/>
      <c r="C63" s="61"/>
      <c r="D63" s="62" t="str">
        <f t="shared" si="4"/>
        <v/>
      </c>
      <c r="E63" s="62" t="str">
        <f t="shared" si="5"/>
        <v/>
      </c>
      <c r="F63" s="62" t="str">
        <f t="shared" si="8"/>
        <v/>
      </c>
      <c r="G63" s="62" t="str">
        <f>IF(E63="","",LN(ABS(E63)))</f>
        <v/>
      </c>
      <c r="H63" s="62" t="str">
        <f t="shared" si="6"/>
        <v/>
      </c>
      <c r="I63" s="62" t="str">
        <f t="shared" si="10"/>
        <v/>
      </c>
      <c r="J63" s="62" t="str">
        <f>IF(F63="","",LN(F63))</f>
        <v/>
      </c>
      <c r="K63" s="62" t="str">
        <f t="shared" si="7"/>
        <v/>
      </c>
      <c r="L63" s="62" t="str">
        <f t="shared" si="12"/>
        <v/>
      </c>
      <c r="M63" s="62" t="str">
        <f>IF(H63="","",H63*K63)</f>
        <v/>
      </c>
      <c r="N63" s="62" t="str">
        <f>IF(G63="","",G63^2)</f>
        <v/>
      </c>
    </row>
    <row r="64" spans="2:14" s="12" customFormat="1" x14ac:dyDescent="0.2">
      <c r="B64" s="60"/>
      <c r="C64" s="61"/>
      <c r="D64" s="62" t="str">
        <f t="shared" si="4"/>
        <v/>
      </c>
      <c r="E64" s="62" t="str">
        <f t="shared" si="5"/>
        <v/>
      </c>
      <c r="F64" s="62" t="str">
        <f t="shared" si="8"/>
        <v/>
      </c>
      <c r="G64" s="62" t="str">
        <f>IF(E64="","",LN(ABS(E64)))</f>
        <v/>
      </c>
      <c r="H64" s="62" t="str">
        <f t="shared" si="6"/>
        <v/>
      </c>
      <c r="I64" s="62" t="str">
        <f t="shared" si="10"/>
        <v/>
      </c>
      <c r="J64" s="62" t="str">
        <f>IF(F64="","",LN(F64))</f>
        <v/>
      </c>
      <c r="K64" s="62" t="str">
        <f t="shared" si="7"/>
        <v/>
      </c>
      <c r="L64" s="62" t="str">
        <f t="shared" si="12"/>
        <v/>
      </c>
      <c r="M64" s="62" t="str">
        <f>IF(H64="","",H64*K64)</f>
        <v/>
      </c>
      <c r="N64" s="62" t="str">
        <f>IF(G64="","",G64^2)</f>
        <v/>
      </c>
    </row>
    <row r="65" spans="2:14" s="12" customFormat="1" x14ac:dyDescent="0.2">
      <c r="B65" s="60"/>
      <c r="C65" s="63"/>
      <c r="D65" s="62" t="str">
        <f t="shared" si="4"/>
        <v/>
      </c>
      <c r="E65" s="62" t="str">
        <f t="shared" si="5"/>
        <v/>
      </c>
      <c r="F65" s="62" t="str">
        <f t="shared" si="8"/>
        <v/>
      </c>
      <c r="G65" s="62" t="str">
        <f>IF(E65="","",LN(ABS(E65)))</f>
        <v/>
      </c>
      <c r="H65" s="62" t="str">
        <f t="shared" si="6"/>
        <v/>
      </c>
      <c r="I65" s="62" t="str">
        <f t="shared" si="10"/>
        <v/>
      </c>
      <c r="J65" s="62" t="str">
        <f>IF(F65="","",LN(F65))</f>
        <v/>
      </c>
      <c r="K65" s="62" t="str">
        <f t="shared" si="7"/>
        <v/>
      </c>
      <c r="L65" s="62" t="str">
        <f t="shared" si="12"/>
        <v/>
      </c>
      <c r="M65" s="62" t="str">
        <f>IF(H65="","",H65*K65)</f>
        <v/>
      </c>
      <c r="N65" s="62" t="str">
        <f>IF(G65="","",G65^2)</f>
        <v/>
      </c>
    </row>
    <row r="66" spans="2:14" s="12" customFormat="1" x14ac:dyDescent="0.2">
      <c r="F66" s="64"/>
    </row>
    <row r="67" spans="2:14" s="12" customFormat="1" x14ac:dyDescent="0.2">
      <c r="B67" s="65" t="s">
        <v>40</v>
      </c>
      <c r="C67" s="33">
        <f>1/(C$14-1)*I68</f>
        <v>0.39216843438487892</v>
      </c>
      <c r="F67" s="65" t="s">
        <v>38</v>
      </c>
      <c r="G67" s="33">
        <f>AVERAGE(G53:G65)</f>
        <v>3.3858936394729993</v>
      </c>
      <c r="H67" s="66"/>
      <c r="I67" s="65" t="s">
        <v>39</v>
      </c>
      <c r="J67" s="33">
        <f>AVERAGE(J53:J65)</f>
        <v>6.1948962594757209</v>
      </c>
      <c r="K67" s="66"/>
      <c r="L67" s="67" t="s">
        <v>70</v>
      </c>
      <c r="M67" s="33">
        <f>SUM(M53:M65)</f>
        <v>1.5792221238564625</v>
      </c>
      <c r="N67" s="66"/>
    </row>
    <row r="68" spans="2:14" s="12" customFormat="1" x14ac:dyDescent="0.2">
      <c r="B68" s="65" t="s">
        <v>41</v>
      </c>
      <c r="C68" s="33">
        <f>1/(C$14-1)*L68</f>
        <v>0.17671099999978934</v>
      </c>
      <c r="F68" s="66"/>
      <c r="G68" s="66"/>
      <c r="H68" s="67" t="s">
        <v>68</v>
      </c>
      <c r="I68" s="33">
        <f>SUM(I53:I65)</f>
        <v>2.3530106063092737</v>
      </c>
      <c r="J68" s="66"/>
      <c r="K68" s="67" t="s">
        <v>69</v>
      </c>
      <c r="L68" s="33">
        <f>SUM(L53:L65)</f>
        <v>1.0602659999987361</v>
      </c>
      <c r="M68" s="67" t="s">
        <v>71</v>
      </c>
      <c r="N68" s="33">
        <f>SUM(N53:N65)</f>
        <v>82.602940771075268</v>
      </c>
    </row>
    <row r="69" spans="2:14" s="12" customFormat="1" ht="13.5" thickBot="1" x14ac:dyDescent="0.25">
      <c r="B69" s="65" t="s">
        <v>42</v>
      </c>
      <c r="C69" s="33">
        <f>1/(C$14-1)*M67</f>
        <v>0.26320368730941041</v>
      </c>
    </row>
    <row r="70" spans="2:14" s="12" customFormat="1" ht="19.5" customHeight="1" x14ac:dyDescent="0.2">
      <c r="B70" s="96" t="s">
        <v>65</v>
      </c>
      <c r="C70" s="97"/>
      <c r="H70" s="55"/>
      <c r="I70" s="102" t="s">
        <v>43</v>
      </c>
      <c r="J70" s="103"/>
      <c r="K70" s="104"/>
    </row>
    <row r="71" spans="2:14" s="12" customFormat="1" ht="15.75" x14ac:dyDescent="0.2">
      <c r="B71" s="68" t="s">
        <v>44</v>
      </c>
      <c r="C71" s="69">
        <f>C69/C67</f>
        <v>0.67114959857044254</v>
      </c>
      <c r="D71" s="70" t="s">
        <v>45</v>
      </c>
      <c r="E71" s="33">
        <f>SQRT((C68-C71*C69)/C67/(C14-2))</f>
        <v>5.6208573047654585E-3</v>
      </c>
      <c r="F71" s="70" t="s">
        <v>46</v>
      </c>
      <c r="G71" s="33">
        <f>E71*L29</f>
        <v>1.4448975787630089E-2</v>
      </c>
      <c r="I71" s="68" t="s">
        <v>47</v>
      </c>
      <c r="J71" s="106" t="str">
        <f>CONCATENATE("[ ",ROUND(C71-G71,5)," ; ",ROUND(C71+G71,5)," ]")</f>
        <v>[ 0,6567 ; 0,6856 ]</v>
      </c>
      <c r="K71" s="99"/>
    </row>
    <row r="72" spans="2:14" s="12" customFormat="1" ht="18.75" customHeight="1" x14ac:dyDescent="0.2">
      <c r="B72" s="68" t="s">
        <v>48</v>
      </c>
      <c r="C72" s="69">
        <f>EXP(J67-C71*G67)</f>
        <v>50.524335057558538</v>
      </c>
      <c r="D72" s="70" t="s">
        <v>49</v>
      </c>
      <c r="E72" s="33">
        <f>E71*SQRT(N68/C14)</f>
        <v>1.9308622625500392E-2</v>
      </c>
      <c r="F72" s="70" t="s">
        <v>50</v>
      </c>
      <c r="G72" s="33">
        <f>E72*L29</f>
        <v>4.9634745321111312E-2</v>
      </c>
      <c r="I72" s="68" t="s">
        <v>51</v>
      </c>
      <c r="J72" s="98" t="str">
        <f>CONCATENATE("[ ",ROUND(C72*EXP(-G72),3)," ; ",ROUND(C72*EXP(G72),3)," ]")</f>
        <v>[ 48,078 ; 53,095 ]</v>
      </c>
      <c r="K72" s="99"/>
    </row>
    <row r="73" spans="2:14" s="72" customFormat="1" ht="14.25" x14ac:dyDescent="0.2">
      <c r="B73" s="82" t="s">
        <v>98</v>
      </c>
      <c r="C73" s="71">
        <f>IF(E53="D",C72*(293.15/(273.15+C11))^(1-C71),C72*(293.15/(273.15+C10))^(1-C71))</f>
        <v>50.524335057558538</v>
      </c>
      <c r="I73" s="82" t="s">
        <v>95</v>
      </c>
      <c r="J73" s="100" t="str">
        <f>CONCATENATE("[ ",ROUND(C73*EXP(-G72),3)," ; ",ROUND(C73*EXP(G72),3)," ]")</f>
        <v>[ 48,078 ; 53,095 ]</v>
      </c>
      <c r="K73" s="101"/>
    </row>
    <row r="74" spans="2:14" s="12" customFormat="1" x14ac:dyDescent="0.2">
      <c r="B74" s="17"/>
      <c r="C74" s="73"/>
      <c r="I74" s="74"/>
      <c r="J74" s="45"/>
      <c r="K74" s="75"/>
    </row>
    <row r="75" spans="2:14" s="12" customFormat="1" x14ac:dyDescent="0.2">
      <c r="B75" s="68" t="s">
        <v>52</v>
      </c>
      <c r="C75" s="76">
        <f>C69/SQRT(C67*C68)</f>
        <v>0.99982469582985323</v>
      </c>
      <c r="D75" s="68" t="s">
        <v>85</v>
      </c>
      <c r="E75" s="76">
        <f>+C75^2</f>
        <v>0.99964942239125854</v>
      </c>
      <c r="I75" s="74"/>
      <c r="J75" s="45"/>
      <c r="K75" s="75"/>
    </row>
    <row r="76" spans="2:14" s="12" customFormat="1" x14ac:dyDescent="0.2">
      <c r="B76" s="17"/>
      <c r="C76" s="73"/>
      <c r="I76" s="74"/>
      <c r="J76" s="45"/>
      <c r="K76" s="75"/>
    </row>
    <row r="77" spans="2:14" s="12" customFormat="1" ht="15.75" x14ac:dyDescent="0.2">
      <c r="B77" s="68" t="s">
        <v>84</v>
      </c>
      <c r="C77" s="76">
        <f>C73*50^C71</f>
        <v>697.85250687569521</v>
      </c>
      <c r="D77" s="70" t="s">
        <v>53</v>
      </c>
      <c r="E77" s="33">
        <f>E$71*SQRT((1-1/C$14)*C$67+(LN(50)-G$67)^2)</f>
        <v>4.400655596106199E-3</v>
      </c>
      <c r="F77" s="70" t="s">
        <v>54</v>
      </c>
      <c r="G77" s="33">
        <f>E77*L$29</f>
        <v>1.1312325275350596E-2</v>
      </c>
      <c r="I77" s="68" t="s">
        <v>81</v>
      </c>
      <c r="J77" s="91" t="str">
        <f>CONCATENATE("[ ",ROUND(C77*EXP(-G77),3)," ; ",ROUND(C77*EXP(G77),3)," ]")</f>
        <v>[ 690,003 ; 705,792 ]</v>
      </c>
      <c r="K77" s="91"/>
      <c r="L77" s="68" t="s">
        <v>79</v>
      </c>
      <c r="M77" s="77">
        <f>(EXP(G77)-EXP(-G77))/2</f>
        <v>1.1312566547493574E-2</v>
      </c>
    </row>
    <row r="78" spans="2:14" s="12" customFormat="1" x14ac:dyDescent="0.2">
      <c r="B78" s="68" t="s">
        <v>55</v>
      </c>
      <c r="C78" s="76">
        <f>C77/C4</f>
        <v>2.547278824922234</v>
      </c>
      <c r="D78" s="78"/>
      <c r="E78" s="68" t="s">
        <v>56</v>
      </c>
      <c r="F78" s="77">
        <f>SQRT(M77^2+E4^2)</f>
        <v>0.10063783663161421</v>
      </c>
      <c r="G78" s="48"/>
      <c r="I78" s="68" t="s">
        <v>57</v>
      </c>
      <c r="J78" s="91" t="str">
        <f>CONCATENATE("[ ",ROUND(C78*(1-F78),5)," ; ",ROUND(C78*(1+F78),5)," ]")</f>
        <v>[ 2,29093 ; 2,80363 ]</v>
      </c>
      <c r="K78" s="91"/>
      <c r="M78" s="64"/>
    </row>
    <row r="79" spans="2:14" s="12" customFormat="1" x14ac:dyDescent="0.2">
      <c r="B79" s="17"/>
      <c r="C79" s="73"/>
      <c r="I79" s="74"/>
      <c r="J79" s="45"/>
      <c r="K79" s="75"/>
      <c r="M79" s="64"/>
    </row>
    <row r="80" spans="2:14" s="12" customFormat="1" ht="15.75" x14ac:dyDescent="0.2">
      <c r="B80" s="68" t="s">
        <v>83</v>
      </c>
      <c r="C80" s="76">
        <f>C73*4^C71</f>
        <v>128.10701976548029</v>
      </c>
      <c r="D80" s="70" t="s">
        <v>59</v>
      </c>
      <c r="E80" s="33">
        <f>E$71*SQRT((1-1/C$14)*C$67+(LN(4)-G$67)^2)</f>
        <v>1.1702378752231256E-2</v>
      </c>
      <c r="F80" s="70" t="s">
        <v>60</v>
      </c>
      <c r="G80" s="33">
        <f>E80*L$29</f>
        <v>3.0082134820485669E-2</v>
      </c>
      <c r="I80" s="68" t="s">
        <v>82</v>
      </c>
      <c r="J80" s="91" t="str">
        <f>CONCATENATE("[ ",ROUND(C80*EXP(-G80),3)," ; ",ROUND(C80*EXP(G80),3)," ]")</f>
        <v>[ 124,311 ; 132,019 ]</v>
      </c>
      <c r="K80" s="91"/>
      <c r="L80" s="68" t="s">
        <v>80</v>
      </c>
      <c r="M80" s="77">
        <f>(EXP(G80)-EXP(-G80))/2</f>
        <v>3.0086672087730859E-2</v>
      </c>
    </row>
    <row r="81" spans="2:11" s="12" customFormat="1" x14ac:dyDescent="0.2">
      <c r="B81" s="68" t="s">
        <v>61</v>
      </c>
      <c r="C81" s="76">
        <f>C80/C5</f>
        <v>0.5248136819560848</v>
      </c>
      <c r="D81" s="68"/>
      <c r="E81" s="68" t="s">
        <v>63</v>
      </c>
      <c r="F81" s="77">
        <f>SQRT(M80^2+E5^2)</f>
        <v>3.0086672087730859E-2</v>
      </c>
      <c r="G81" s="48"/>
      <c r="I81" s="68" t="s">
        <v>62</v>
      </c>
      <c r="J81" s="91" t="str">
        <f>CONCATENATE("[ ",ROUND(C81*(1-F81),5)," ; ",ROUND(C81*(1+F81),5)," ]")</f>
        <v>[ 0,50902 ; 0,5406 ]</v>
      </c>
      <c r="K81" s="91"/>
    </row>
    <row r="82" spans="2:11" s="12" customFormat="1" x14ac:dyDescent="0.2">
      <c r="B82" s="41" t="s">
        <v>78</v>
      </c>
    </row>
    <row r="83" spans="2:11" s="12" customFormat="1" x14ac:dyDescent="0.2">
      <c r="B83" s="68" t="s">
        <v>88</v>
      </c>
      <c r="C83" s="79">
        <f>+(1/3600)*C73*(E7/2)^0.5*4^(C71-0.5)*10000</f>
        <v>138.05072038356994</v>
      </c>
      <c r="D83" s="12">
        <f>+(C83)^0.5</f>
        <v>11.749498729033929</v>
      </c>
    </row>
    <row r="84" spans="2:11" s="12" customFormat="1" ht="12.75" customHeight="1" x14ac:dyDescent="0.2">
      <c r="B84" s="107" t="s">
        <v>89</v>
      </c>
      <c r="C84" s="107"/>
      <c r="D84" s="107"/>
      <c r="E84" s="9"/>
      <c r="F84" s="9"/>
      <c r="G84" s="9"/>
      <c r="H84" s="9"/>
    </row>
    <row r="85" spans="2:11" s="12" customFormat="1" ht="29.25" customHeight="1" x14ac:dyDescent="0.2">
      <c r="B85" s="107"/>
      <c r="C85" s="107"/>
      <c r="D85" s="107"/>
      <c r="E85" s="9"/>
    </row>
    <row r="86" spans="2:11" s="12" customFormat="1" x14ac:dyDescent="0.2">
      <c r="C86" s="9"/>
      <c r="D86" s="9"/>
      <c r="E86" s="9"/>
    </row>
    <row r="87" spans="2:11" s="12" customFormat="1" x14ac:dyDescent="0.2">
      <c r="B87" s="92"/>
      <c r="C87" s="92"/>
      <c r="D87" s="92"/>
    </row>
    <row r="88" spans="2:11" s="12" customFormat="1" x14ac:dyDescent="0.2">
      <c r="D88" s="80">
        <f>+M67/(I68*L68)^0.5</f>
        <v>0.99982469582985323</v>
      </c>
    </row>
  </sheetData>
  <mergeCells count="16">
    <mergeCell ref="J80:K80"/>
    <mergeCell ref="B87:D87"/>
    <mergeCell ref="B2:E2"/>
    <mergeCell ref="B6:E6"/>
    <mergeCell ref="B12:E12"/>
    <mergeCell ref="B15:E15"/>
    <mergeCell ref="B70:C70"/>
    <mergeCell ref="J81:K81"/>
    <mergeCell ref="J72:K72"/>
    <mergeCell ref="J73:K73"/>
    <mergeCell ref="J77:K77"/>
    <mergeCell ref="J78:K78"/>
    <mergeCell ref="I70:K70"/>
    <mergeCell ref="B51:C51"/>
    <mergeCell ref="J71:K71"/>
    <mergeCell ref="B84:D85"/>
  </mergeCells>
  <phoneticPr fontId="0" type="noConversion"/>
  <pageMargins left="0.32" right="0.35" top="0.984251969" bottom="0.77" header="0.4921259845" footer="0.4921259845"/>
  <pageSetup paperSize="9" scale="48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8"/>
  <sheetViews>
    <sheetView topLeftCell="A7" zoomScale="70" zoomScaleNormal="70" workbookViewId="0">
      <selection activeCell="J44" sqref="J44"/>
    </sheetView>
  </sheetViews>
  <sheetFormatPr baseColWidth="10" defaultColWidth="11.28515625" defaultRowHeight="12.75" x14ac:dyDescent="0.2"/>
  <cols>
    <col min="1" max="1" width="11.28515625" style="4"/>
    <col min="2" max="2" width="20.28515625" style="12" customWidth="1"/>
    <col min="3" max="5" width="17.140625" style="12" customWidth="1"/>
    <col min="6" max="6" width="18.42578125" style="12" customWidth="1"/>
    <col min="7" max="8" width="11.28515625" style="12"/>
    <col min="9" max="9" width="19" style="12" customWidth="1"/>
    <col min="10" max="10" width="11.28515625" style="12"/>
    <col min="11" max="11" width="27.7109375" style="12" customWidth="1"/>
    <col min="12" max="12" width="17.7109375" style="12" customWidth="1"/>
    <col min="13" max="16384" width="11.28515625" style="12"/>
  </cols>
  <sheetData>
    <row r="1" spans="2:12" s="12" customFormat="1" ht="13.5" thickBot="1" x14ac:dyDescent="0.25"/>
    <row r="2" spans="2:12" s="12" customFormat="1" ht="21.2" customHeight="1" thickBot="1" x14ac:dyDescent="0.25">
      <c r="B2" s="93" t="s">
        <v>0</v>
      </c>
      <c r="C2" s="94"/>
      <c r="D2" s="94"/>
      <c r="E2" s="95"/>
    </row>
    <row r="3" spans="2:12" s="12" customFormat="1" ht="22.7" customHeight="1" x14ac:dyDescent="0.2">
      <c r="B3" s="13" t="s">
        <v>1</v>
      </c>
      <c r="C3" s="109" t="str">
        <f>+TEST_qenv_CL_T°!C3</f>
        <v>CHIOETTO</v>
      </c>
      <c r="D3" s="15"/>
      <c r="E3" s="16"/>
    </row>
    <row r="4" spans="2:12" s="12" customFormat="1" x14ac:dyDescent="0.2">
      <c r="B4" s="17" t="s">
        <v>2</v>
      </c>
      <c r="C4" s="110">
        <f>+TEST_qenv_CL_T°!C4</f>
        <v>273.95999999999998</v>
      </c>
      <c r="D4" s="19" t="s">
        <v>58</v>
      </c>
      <c r="E4" s="116">
        <f>+TEST_qenv_CL_T°!E4</f>
        <v>0.1</v>
      </c>
    </row>
    <row r="5" spans="2:12" s="12" customFormat="1" ht="16.5" thickBot="1" x14ac:dyDescent="0.25">
      <c r="B5" s="21" t="s">
        <v>3</v>
      </c>
      <c r="C5" s="111">
        <f>+TEST_qenv_CL_T°!C5</f>
        <v>244.1</v>
      </c>
      <c r="D5" s="23" t="s">
        <v>58</v>
      </c>
      <c r="E5" s="117">
        <f>+TEST_qenv_CL_T°!E5</f>
        <v>0</v>
      </c>
    </row>
    <row r="6" spans="2:12" s="12" customFormat="1" ht="25.5" customHeight="1" thickBot="1" x14ac:dyDescent="0.25">
      <c r="B6" s="93" t="s">
        <v>4</v>
      </c>
      <c r="C6" s="94"/>
      <c r="D6" s="94"/>
      <c r="E6" s="95"/>
    </row>
    <row r="7" spans="2:12" s="12" customFormat="1" ht="21.2" customHeight="1" x14ac:dyDescent="0.2">
      <c r="B7" s="13" t="s">
        <v>5</v>
      </c>
      <c r="C7" s="112">
        <f>+TEST_qenv_CL_T°!C7</f>
        <v>101325</v>
      </c>
      <c r="D7" s="26" t="s">
        <v>6</v>
      </c>
      <c r="E7" s="27">
        <v>1.204</v>
      </c>
      <c r="I7" s="28"/>
    </row>
    <row r="8" spans="2:12" s="12" customFormat="1" x14ac:dyDescent="0.2">
      <c r="B8" s="17" t="s">
        <v>7</v>
      </c>
      <c r="C8" s="113">
        <f>+TEST_qenv_CL_T°!C8</f>
        <v>0</v>
      </c>
      <c r="D8" s="30"/>
      <c r="E8" s="31"/>
    </row>
    <row r="9" spans="2:12" s="12" customFormat="1" x14ac:dyDescent="0.2">
      <c r="B9" s="17" t="s">
        <v>8</v>
      </c>
      <c r="C9" s="113">
        <f>+TEST_qenv_CL_T°!C9</f>
        <v>0</v>
      </c>
      <c r="D9" s="30"/>
      <c r="E9" s="16"/>
    </row>
    <row r="10" spans="2:12" s="12" customFormat="1" x14ac:dyDescent="0.2">
      <c r="B10" s="17" t="s">
        <v>9</v>
      </c>
      <c r="C10" s="114">
        <f>+TEST_qenv_CL_T°!C10</f>
        <v>20</v>
      </c>
      <c r="D10" s="19" t="s">
        <v>10</v>
      </c>
      <c r="E10" s="33">
        <f>(C$7-0.37802*C8*EXP(59.484085-6790.4985/(C10+273.15)-5.02802*LN(C10+273.15)))/287.055/(C10+273.15)</f>
        <v>1.2040973427229398</v>
      </c>
    </row>
    <row r="11" spans="2:12" s="12" customFormat="1" ht="13.5" thickBot="1" x14ac:dyDescent="0.25">
      <c r="B11" s="21" t="s">
        <v>11</v>
      </c>
      <c r="C11" s="115">
        <f>+TEST_qenv_CL_T°!C11</f>
        <v>10</v>
      </c>
      <c r="D11" s="23" t="s">
        <v>12</v>
      </c>
      <c r="E11" s="35">
        <f>(C$7-0.37802*C9*EXP(59.484085-6790.4985/(C11+273.15)-5.02802*LN(C11+273.15)))/287.055/(C11+273.15)</f>
        <v>1.2466224122169514</v>
      </c>
    </row>
    <row r="12" spans="2:12" s="12" customFormat="1" ht="30.2" customHeight="1" thickBot="1" x14ac:dyDescent="0.25">
      <c r="B12" s="93" t="s">
        <v>13</v>
      </c>
      <c r="C12" s="94"/>
      <c r="D12" s="94"/>
      <c r="E12" s="95"/>
    </row>
    <row r="13" spans="2:12" s="12" customFormat="1" ht="32.1" customHeight="1" x14ac:dyDescent="0.2">
      <c r="B13" s="13" t="s">
        <v>14</v>
      </c>
      <c r="C13" s="108">
        <f>+TEST_qenv_CL_T°!C13</f>
        <v>3</v>
      </c>
      <c r="D13" s="36" t="s">
        <v>90</v>
      </c>
      <c r="E13" s="108" t="str">
        <f>+TEST_qenv_CL_T°!E13</f>
        <v>D</v>
      </c>
    </row>
    <row r="14" spans="2:12" s="12" customFormat="1" ht="13.5" thickBot="1" x14ac:dyDescent="0.25">
      <c r="B14" s="21" t="s">
        <v>15</v>
      </c>
      <c r="C14" s="37">
        <f>+TEST_qenv_CL_T°!C14</f>
        <v>7</v>
      </c>
      <c r="D14" s="15"/>
      <c r="E14" s="16"/>
    </row>
    <row r="15" spans="2:12" s="12" customFormat="1" ht="24" customHeight="1" thickBot="1" x14ac:dyDescent="0.25">
      <c r="B15" s="93" t="s">
        <v>16</v>
      </c>
      <c r="C15" s="94"/>
      <c r="D15" s="94"/>
      <c r="E15" s="95"/>
    </row>
    <row r="16" spans="2:12" s="41" customFormat="1" ht="21.2" customHeight="1" x14ac:dyDescent="0.2">
      <c r="B16" s="38"/>
      <c r="C16" s="39" t="s">
        <v>17</v>
      </c>
      <c r="D16" s="40"/>
      <c r="E16" s="39" t="s">
        <v>18</v>
      </c>
      <c r="K16" s="42" t="s">
        <v>64</v>
      </c>
      <c r="L16" s="42"/>
    </row>
    <row r="17" spans="2:12" s="12" customFormat="1" x14ac:dyDescent="0.2">
      <c r="B17" s="43"/>
      <c r="C17" s="83" t="str">
        <f>IF(+TEST_qenv_CL_T°!C17="","",+TEST_qenv_CL_T°!C17)</f>
        <v/>
      </c>
      <c r="D17" s="84"/>
      <c r="E17" s="83" t="str">
        <f>IF(+TEST_qenv_CL_T°!E17="","",+TEST_qenv_CL_T°!E17)</f>
        <v/>
      </c>
      <c r="F17" s="46" t="str">
        <f>IF(C17&gt;0,C17,"")</f>
        <v/>
      </c>
      <c r="G17" s="46" t="str">
        <f>IF(C17&lt;0,C17,"")</f>
        <v/>
      </c>
      <c r="H17" s="46" t="str">
        <f>IF(E17&gt;0,E17,"")</f>
        <v/>
      </c>
      <c r="I17" s="46" t="str">
        <f>IF(E17&lt;0,E17,"")</f>
        <v/>
      </c>
      <c r="K17" s="47" t="s">
        <v>19</v>
      </c>
      <c r="L17" s="47" t="s">
        <v>20</v>
      </c>
    </row>
    <row r="18" spans="2:12" s="12" customFormat="1" x14ac:dyDescent="0.2">
      <c r="B18" s="43"/>
      <c r="C18" s="83" t="str">
        <f>IF(+TEST_qenv_CL_T°!C18="","",+TEST_qenv_CL_T°!C18)</f>
        <v/>
      </c>
      <c r="D18" s="84"/>
      <c r="E18" s="83" t="str">
        <f>IF(+TEST_qenv_CL_T°!E18="","",+TEST_qenv_CL_T°!E18)</f>
        <v/>
      </c>
      <c r="F18" s="46" t="str">
        <f t="shared" ref="F18:F46" si="0">IF(C18&gt;0,C18,"")</f>
        <v/>
      </c>
      <c r="G18" s="46" t="str">
        <f t="shared" ref="G18:G46" si="1">IF(C18&lt;0,C18,"")</f>
        <v/>
      </c>
      <c r="H18" s="46" t="str">
        <f t="shared" ref="H18:H46" si="2">IF(E18&gt;0,E18,"")</f>
        <v/>
      </c>
      <c r="I18" s="46" t="str">
        <f t="shared" ref="I18:I46" si="3">IF(E18&lt;0,E18,"")</f>
        <v/>
      </c>
      <c r="K18" s="47">
        <v>1</v>
      </c>
      <c r="L18" s="47">
        <v>12.706</v>
      </c>
    </row>
    <row r="19" spans="2:12" s="12" customFormat="1" x14ac:dyDescent="0.2">
      <c r="B19" s="43"/>
      <c r="C19" s="83" t="str">
        <f>IF(+TEST_qenv_CL_T°!C19="","",+TEST_qenv_CL_T°!C19)</f>
        <v/>
      </c>
      <c r="D19" s="84"/>
      <c r="E19" s="83" t="str">
        <f>IF(+TEST_qenv_CL_T°!E19="","",+TEST_qenv_CL_T°!E19)</f>
        <v/>
      </c>
      <c r="F19" s="46" t="str">
        <f t="shared" si="0"/>
        <v/>
      </c>
      <c r="G19" s="46" t="str">
        <f t="shared" si="1"/>
        <v/>
      </c>
      <c r="H19" s="46" t="str">
        <f t="shared" si="2"/>
        <v/>
      </c>
      <c r="I19" s="46" t="str">
        <f t="shared" si="3"/>
        <v/>
      </c>
      <c r="K19" s="47">
        <v>2</v>
      </c>
      <c r="L19" s="47">
        <v>4.3026999999999997</v>
      </c>
    </row>
    <row r="20" spans="2:12" s="12" customFormat="1" x14ac:dyDescent="0.2">
      <c r="B20" s="43"/>
      <c r="C20" s="83" t="str">
        <f>IF(+TEST_qenv_CL_T°!C20="","",+TEST_qenv_CL_T°!C20)</f>
        <v/>
      </c>
      <c r="D20" s="84"/>
      <c r="E20" s="83" t="str">
        <f>IF(+TEST_qenv_CL_T°!E20="","",+TEST_qenv_CL_T°!E20)</f>
        <v/>
      </c>
      <c r="F20" s="46" t="str">
        <f t="shared" si="0"/>
        <v/>
      </c>
      <c r="G20" s="46" t="str">
        <f t="shared" si="1"/>
        <v/>
      </c>
      <c r="H20" s="46" t="str">
        <f t="shared" si="2"/>
        <v/>
      </c>
      <c r="I20" s="46" t="str">
        <f t="shared" si="3"/>
        <v/>
      </c>
      <c r="K20" s="47">
        <v>3</v>
      </c>
      <c r="L20" s="47">
        <v>3.1825000000000001</v>
      </c>
    </row>
    <row r="21" spans="2:12" s="12" customFormat="1" x14ac:dyDescent="0.2">
      <c r="B21" s="43"/>
      <c r="C21" s="83" t="str">
        <f>IF(+TEST_qenv_CL_T°!C21="","",+TEST_qenv_CL_T°!C21)</f>
        <v/>
      </c>
      <c r="D21" s="84"/>
      <c r="E21" s="83" t="str">
        <f>IF(+TEST_qenv_CL_T°!E21="","",+TEST_qenv_CL_T°!E21)</f>
        <v/>
      </c>
      <c r="F21" s="46" t="str">
        <f t="shared" si="0"/>
        <v/>
      </c>
      <c r="G21" s="46" t="str">
        <f t="shared" si="1"/>
        <v/>
      </c>
      <c r="H21" s="46" t="str">
        <f t="shared" si="2"/>
        <v/>
      </c>
      <c r="I21" s="46" t="str">
        <f t="shared" si="3"/>
        <v/>
      </c>
      <c r="K21" s="47">
        <v>4</v>
      </c>
      <c r="L21" s="47">
        <v>2.7764000000000002</v>
      </c>
    </row>
    <row r="22" spans="2:12" s="12" customFormat="1" x14ac:dyDescent="0.2">
      <c r="B22" s="43"/>
      <c r="C22" s="83" t="str">
        <f>IF(+TEST_qenv_CL_T°!C22="","",+TEST_qenv_CL_T°!C22)</f>
        <v/>
      </c>
      <c r="D22" s="84"/>
      <c r="E22" s="83" t="str">
        <f>IF(+TEST_qenv_CL_T°!E22="","",+TEST_qenv_CL_T°!E22)</f>
        <v/>
      </c>
      <c r="F22" s="46" t="str">
        <f t="shared" si="0"/>
        <v/>
      </c>
      <c r="G22" s="46" t="str">
        <f t="shared" si="1"/>
        <v/>
      </c>
      <c r="H22" s="46" t="str">
        <f t="shared" si="2"/>
        <v/>
      </c>
      <c r="I22" s="46" t="str">
        <f t="shared" si="3"/>
        <v/>
      </c>
      <c r="K22" s="47">
        <v>5</v>
      </c>
      <c r="L22" s="47">
        <v>2.5706000000000002</v>
      </c>
    </row>
    <row r="23" spans="2:12" s="12" customFormat="1" x14ac:dyDescent="0.2">
      <c r="B23" s="43"/>
      <c r="C23" s="83" t="str">
        <f>IF(+TEST_qenv_CL_T°!C23="","",+TEST_qenv_CL_T°!C23)</f>
        <v/>
      </c>
      <c r="D23" s="84"/>
      <c r="E23" s="83" t="str">
        <f>IF(+TEST_qenv_CL_T°!E23="","",+TEST_qenv_CL_T°!E23)</f>
        <v/>
      </c>
      <c r="F23" s="46" t="str">
        <f t="shared" si="0"/>
        <v/>
      </c>
      <c r="G23" s="46" t="str">
        <f t="shared" si="1"/>
        <v/>
      </c>
      <c r="H23" s="46" t="str">
        <f t="shared" si="2"/>
        <v/>
      </c>
      <c r="I23" s="46" t="str">
        <f t="shared" si="3"/>
        <v/>
      </c>
      <c r="K23" s="47">
        <v>6</v>
      </c>
      <c r="L23" s="47">
        <v>2.4468999999999999</v>
      </c>
    </row>
    <row r="24" spans="2:12" s="12" customFormat="1" x14ac:dyDescent="0.2">
      <c r="B24" s="43"/>
      <c r="C24" s="83" t="str">
        <f>IF(+TEST_qenv_CL_T°!C24="","",+TEST_qenv_CL_T°!C24)</f>
        <v/>
      </c>
      <c r="D24" s="84"/>
      <c r="E24" s="83" t="str">
        <f>IF(+TEST_qenv_CL_T°!E24="","",+TEST_qenv_CL_T°!E24)</f>
        <v/>
      </c>
      <c r="F24" s="46" t="str">
        <f t="shared" si="0"/>
        <v/>
      </c>
      <c r="G24" s="46" t="str">
        <f t="shared" si="1"/>
        <v/>
      </c>
      <c r="H24" s="46" t="str">
        <f t="shared" si="2"/>
        <v/>
      </c>
      <c r="I24" s="46" t="str">
        <f t="shared" si="3"/>
        <v/>
      </c>
      <c r="K24" s="47">
        <v>7</v>
      </c>
      <c r="L24" s="47">
        <v>2.3645999999999998</v>
      </c>
    </row>
    <row r="25" spans="2:12" s="12" customFormat="1" x14ac:dyDescent="0.2">
      <c r="B25" s="43"/>
      <c r="C25" s="83" t="str">
        <f>IF(+TEST_qenv_CL_T°!C25="","",+TEST_qenv_CL_T°!C25)</f>
        <v/>
      </c>
      <c r="D25" s="84"/>
      <c r="E25" s="83" t="str">
        <f>IF(+TEST_qenv_CL_T°!E25="","",+TEST_qenv_CL_T°!E25)</f>
        <v/>
      </c>
      <c r="F25" s="46" t="str">
        <f t="shared" si="0"/>
        <v/>
      </c>
      <c r="G25" s="46" t="str">
        <f t="shared" si="1"/>
        <v/>
      </c>
      <c r="H25" s="46" t="str">
        <f t="shared" si="2"/>
        <v/>
      </c>
      <c r="I25" s="46" t="str">
        <f t="shared" si="3"/>
        <v/>
      </c>
      <c r="K25" s="47">
        <v>8</v>
      </c>
      <c r="L25" s="47">
        <v>2.306</v>
      </c>
    </row>
    <row r="26" spans="2:12" s="12" customFormat="1" x14ac:dyDescent="0.2">
      <c r="B26" s="43"/>
      <c r="C26" s="83" t="str">
        <f>IF(+TEST_qenv_CL_T°!C26="","",+TEST_qenv_CL_T°!C26)</f>
        <v/>
      </c>
      <c r="D26" s="84"/>
      <c r="E26" s="83" t="str">
        <f>IF(+TEST_qenv_CL_T°!E26="","",+TEST_qenv_CL_T°!E26)</f>
        <v/>
      </c>
      <c r="F26" s="46" t="str">
        <f t="shared" si="0"/>
        <v/>
      </c>
      <c r="G26" s="46" t="str">
        <f t="shared" si="1"/>
        <v/>
      </c>
      <c r="H26" s="46" t="str">
        <f t="shared" si="2"/>
        <v/>
      </c>
      <c r="I26" s="46" t="str">
        <f t="shared" si="3"/>
        <v/>
      </c>
      <c r="K26" s="47">
        <v>9</v>
      </c>
      <c r="L26" s="47">
        <v>2.2622</v>
      </c>
    </row>
    <row r="27" spans="2:12" s="12" customFormat="1" x14ac:dyDescent="0.2">
      <c r="B27" s="43"/>
      <c r="C27" s="83" t="str">
        <f>IF(+TEST_qenv_CL_T°!C27="","",+TEST_qenv_CL_T°!C27)</f>
        <v/>
      </c>
      <c r="D27" s="84"/>
      <c r="E27" s="83" t="str">
        <f>IF(+TEST_qenv_CL_T°!E27="","",+TEST_qenv_CL_T°!E27)</f>
        <v/>
      </c>
      <c r="F27" s="46" t="str">
        <f t="shared" si="0"/>
        <v/>
      </c>
      <c r="G27" s="46" t="str">
        <f t="shared" si="1"/>
        <v/>
      </c>
      <c r="H27" s="46" t="str">
        <f t="shared" si="2"/>
        <v/>
      </c>
      <c r="I27" s="46" t="str">
        <f t="shared" si="3"/>
        <v/>
      </c>
      <c r="K27" s="47">
        <v>10</v>
      </c>
      <c r="L27" s="47">
        <v>2.2281</v>
      </c>
    </row>
    <row r="28" spans="2:12" s="12" customFormat="1" x14ac:dyDescent="0.2">
      <c r="B28" s="43"/>
      <c r="C28" s="83" t="str">
        <f>IF(+TEST_qenv_CL_T°!C28="","",+TEST_qenv_CL_T°!C28)</f>
        <v/>
      </c>
      <c r="D28" s="84"/>
      <c r="E28" s="83" t="str">
        <f>IF(+TEST_qenv_CL_T°!E28="","",+TEST_qenv_CL_T°!E28)</f>
        <v/>
      </c>
      <c r="F28" s="46" t="str">
        <f t="shared" si="0"/>
        <v/>
      </c>
      <c r="G28" s="46" t="str">
        <f t="shared" si="1"/>
        <v/>
      </c>
      <c r="H28" s="46" t="str">
        <f t="shared" si="2"/>
        <v/>
      </c>
      <c r="I28" s="46" t="str">
        <f t="shared" si="3"/>
        <v/>
      </c>
      <c r="K28" s="48"/>
      <c r="L28" s="48"/>
    </row>
    <row r="29" spans="2:12" s="12" customFormat="1" x14ac:dyDescent="0.2">
      <c r="B29" s="43"/>
      <c r="C29" s="83" t="str">
        <f>IF(+TEST_qenv_CL_T°!C29="","",+TEST_qenv_CL_T°!C29)</f>
        <v/>
      </c>
      <c r="D29" s="84"/>
      <c r="E29" s="83" t="str">
        <f>IF(+TEST_qenv_CL_T°!E29="","",+TEST_qenv_CL_T°!E29)</f>
        <v/>
      </c>
      <c r="F29" s="46" t="str">
        <f t="shared" si="0"/>
        <v/>
      </c>
      <c r="G29" s="46" t="str">
        <f t="shared" si="1"/>
        <v/>
      </c>
      <c r="H29" s="46" t="str">
        <f t="shared" si="2"/>
        <v/>
      </c>
      <c r="I29" s="46" t="str">
        <f t="shared" si="3"/>
        <v/>
      </c>
      <c r="K29" s="48" t="s">
        <v>21</v>
      </c>
      <c r="L29" s="48">
        <f>VLOOKUP(C14-2,K18:L27,2,FALSE)</f>
        <v>2.5706000000000002</v>
      </c>
    </row>
    <row r="30" spans="2:12" s="12" customFormat="1" x14ac:dyDescent="0.2">
      <c r="B30" s="43"/>
      <c r="C30" s="83" t="str">
        <f>IF(+TEST_qenv_CL_T°!C30="","",+TEST_qenv_CL_T°!C30)</f>
        <v/>
      </c>
      <c r="D30" s="84"/>
      <c r="E30" s="83" t="str">
        <f>IF(+TEST_qenv_CL_T°!E30="","",+TEST_qenv_CL_T°!E30)</f>
        <v/>
      </c>
      <c r="F30" s="46" t="str">
        <f t="shared" si="0"/>
        <v/>
      </c>
      <c r="G30" s="46" t="str">
        <f t="shared" si="1"/>
        <v/>
      </c>
      <c r="H30" s="46" t="str">
        <f t="shared" si="2"/>
        <v/>
      </c>
      <c r="I30" s="46" t="str">
        <f t="shared" si="3"/>
        <v/>
      </c>
    </row>
    <row r="31" spans="2:12" s="12" customFormat="1" x14ac:dyDescent="0.2">
      <c r="B31" s="43"/>
      <c r="C31" s="83" t="str">
        <f>IF(+TEST_qenv_CL_T°!C31="","",+TEST_qenv_CL_T°!C31)</f>
        <v/>
      </c>
      <c r="D31" s="84"/>
      <c r="E31" s="83" t="str">
        <f>IF(+TEST_qenv_CL_T°!E31="","",+TEST_qenv_CL_T°!E31)</f>
        <v/>
      </c>
      <c r="F31" s="46" t="str">
        <f t="shared" si="0"/>
        <v/>
      </c>
      <c r="G31" s="46" t="str">
        <f t="shared" si="1"/>
        <v/>
      </c>
      <c r="H31" s="46" t="str">
        <f t="shared" si="2"/>
        <v/>
      </c>
      <c r="I31" s="46" t="str">
        <f t="shared" si="3"/>
        <v/>
      </c>
    </row>
    <row r="32" spans="2:12" s="12" customFormat="1" x14ac:dyDescent="0.2">
      <c r="B32" s="43"/>
      <c r="C32" s="83" t="str">
        <f>IF(+TEST_qenv_CL_T°!C32="","",+TEST_qenv_CL_T°!C32)</f>
        <v/>
      </c>
      <c r="D32" s="84"/>
      <c r="E32" s="83" t="str">
        <f>IF(+TEST_qenv_CL_T°!E32="","",+TEST_qenv_CL_T°!E32)</f>
        <v/>
      </c>
      <c r="F32" s="46" t="str">
        <f t="shared" si="0"/>
        <v/>
      </c>
      <c r="G32" s="46" t="str">
        <f t="shared" si="1"/>
        <v/>
      </c>
      <c r="H32" s="46" t="str">
        <f t="shared" si="2"/>
        <v/>
      </c>
      <c r="I32" s="46" t="str">
        <f t="shared" si="3"/>
        <v/>
      </c>
    </row>
    <row r="33" spans="2:9" s="12" customFormat="1" x14ac:dyDescent="0.2">
      <c r="B33" s="43"/>
      <c r="C33" s="83" t="str">
        <f>IF(+TEST_qenv_CL_T°!C33="","",+TEST_qenv_CL_T°!C33)</f>
        <v/>
      </c>
      <c r="D33" s="84"/>
      <c r="E33" s="83" t="str">
        <f>IF(+TEST_qenv_CL_T°!E33="","",+TEST_qenv_CL_T°!E33)</f>
        <v/>
      </c>
      <c r="F33" s="46" t="str">
        <f t="shared" si="0"/>
        <v/>
      </c>
      <c r="G33" s="46" t="str">
        <f t="shared" si="1"/>
        <v/>
      </c>
      <c r="H33" s="46" t="str">
        <f t="shared" si="2"/>
        <v/>
      </c>
      <c r="I33" s="46" t="str">
        <f t="shared" si="3"/>
        <v/>
      </c>
    </row>
    <row r="34" spans="2:9" s="12" customFormat="1" x14ac:dyDescent="0.2">
      <c r="B34" s="43"/>
      <c r="C34" s="83" t="str">
        <f>IF(+TEST_qenv_CL_T°!C34="","",+TEST_qenv_CL_T°!C34)</f>
        <v/>
      </c>
      <c r="D34" s="84"/>
      <c r="E34" s="83" t="str">
        <f>IF(+TEST_qenv_CL_T°!E34="","",+TEST_qenv_CL_T°!E34)</f>
        <v/>
      </c>
      <c r="F34" s="46" t="str">
        <f t="shared" si="0"/>
        <v/>
      </c>
      <c r="G34" s="46" t="str">
        <f t="shared" si="1"/>
        <v/>
      </c>
      <c r="H34" s="46" t="str">
        <f t="shared" si="2"/>
        <v/>
      </c>
      <c r="I34" s="46" t="str">
        <f t="shared" si="3"/>
        <v/>
      </c>
    </row>
    <row r="35" spans="2:9" s="12" customFormat="1" x14ac:dyDescent="0.2">
      <c r="B35" s="43"/>
      <c r="C35" s="83" t="str">
        <f>IF(+TEST_qenv_CL_T°!C35="","",+TEST_qenv_CL_T°!C35)</f>
        <v/>
      </c>
      <c r="D35" s="84"/>
      <c r="E35" s="83" t="str">
        <f>IF(+TEST_qenv_CL_T°!E35="","",+TEST_qenv_CL_T°!E35)</f>
        <v/>
      </c>
      <c r="F35" s="46" t="str">
        <f t="shared" si="0"/>
        <v/>
      </c>
      <c r="G35" s="46" t="str">
        <f t="shared" si="1"/>
        <v/>
      </c>
      <c r="H35" s="46" t="str">
        <f t="shared" si="2"/>
        <v/>
      </c>
      <c r="I35" s="46" t="str">
        <f t="shared" si="3"/>
        <v/>
      </c>
    </row>
    <row r="36" spans="2:9" s="12" customFormat="1" ht="10.5" customHeight="1" x14ac:dyDescent="0.2">
      <c r="B36" s="43"/>
      <c r="C36" s="83" t="str">
        <f>IF(+TEST_qenv_CL_T°!C36="","",+TEST_qenv_CL_T°!C36)</f>
        <v/>
      </c>
      <c r="D36" s="84"/>
      <c r="E36" s="83" t="str">
        <f>IF(+TEST_qenv_CL_T°!E36="","",+TEST_qenv_CL_T°!E36)</f>
        <v/>
      </c>
      <c r="F36" s="46" t="str">
        <f t="shared" si="0"/>
        <v/>
      </c>
      <c r="G36" s="46" t="str">
        <f t="shared" si="1"/>
        <v/>
      </c>
      <c r="H36" s="46" t="str">
        <f t="shared" si="2"/>
        <v/>
      </c>
      <c r="I36" s="46" t="str">
        <f t="shared" si="3"/>
        <v/>
      </c>
    </row>
    <row r="37" spans="2:9" s="12" customFormat="1" x14ac:dyDescent="0.2">
      <c r="B37" s="43"/>
      <c r="C37" s="83" t="str">
        <f>IF(+TEST_qenv_CL_T°!C37="","",+TEST_qenv_CL_T°!C37)</f>
        <v/>
      </c>
      <c r="D37" s="84"/>
      <c r="E37" s="83" t="str">
        <f>IF(+TEST_qenv_CL_T°!E37="","",+TEST_qenv_CL_T°!E37)</f>
        <v/>
      </c>
      <c r="F37" s="46" t="str">
        <f t="shared" si="0"/>
        <v/>
      </c>
      <c r="G37" s="46" t="str">
        <f t="shared" si="1"/>
        <v/>
      </c>
      <c r="H37" s="46" t="str">
        <f t="shared" si="2"/>
        <v/>
      </c>
      <c r="I37" s="46" t="str">
        <f t="shared" si="3"/>
        <v/>
      </c>
    </row>
    <row r="38" spans="2:9" s="12" customFormat="1" x14ac:dyDescent="0.2">
      <c r="B38" s="43"/>
      <c r="C38" s="83" t="str">
        <f>IF(+TEST_qenv_CL_T°!C38="","",+TEST_qenv_CL_T°!C38)</f>
        <v/>
      </c>
      <c r="D38" s="84"/>
      <c r="E38" s="83" t="str">
        <f>IF(+TEST_qenv_CL_T°!E38="","",+TEST_qenv_CL_T°!E38)</f>
        <v/>
      </c>
      <c r="F38" s="46" t="str">
        <f t="shared" si="0"/>
        <v/>
      </c>
      <c r="G38" s="46" t="str">
        <f t="shared" si="1"/>
        <v/>
      </c>
      <c r="H38" s="46" t="str">
        <f t="shared" si="2"/>
        <v/>
      </c>
      <c r="I38" s="46" t="str">
        <f t="shared" si="3"/>
        <v/>
      </c>
    </row>
    <row r="39" spans="2:9" s="12" customFormat="1" x14ac:dyDescent="0.2">
      <c r="B39" s="43"/>
      <c r="C39" s="83" t="str">
        <f>IF(+TEST_qenv_CL_T°!C39="","",+TEST_qenv_CL_T°!C39)</f>
        <v/>
      </c>
      <c r="D39" s="84"/>
      <c r="E39" s="83" t="str">
        <f>IF(+TEST_qenv_CL_T°!E39="","",+TEST_qenv_CL_T°!E39)</f>
        <v/>
      </c>
      <c r="F39" s="46" t="str">
        <f t="shared" si="0"/>
        <v/>
      </c>
      <c r="G39" s="46" t="str">
        <f t="shared" si="1"/>
        <v/>
      </c>
      <c r="H39" s="46" t="str">
        <f t="shared" si="2"/>
        <v/>
      </c>
      <c r="I39" s="46" t="str">
        <f t="shared" si="3"/>
        <v/>
      </c>
    </row>
    <row r="40" spans="2:9" s="12" customFormat="1" x14ac:dyDescent="0.2">
      <c r="B40" s="43"/>
      <c r="C40" s="83" t="str">
        <f>IF(+TEST_qenv_CL_T°!C40="","",+TEST_qenv_CL_T°!C40)</f>
        <v/>
      </c>
      <c r="D40" s="84"/>
      <c r="E40" s="83" t="str">
        <f>IF(+TEST_qenv_CL_T°!E40="","",+TEST_qenv_CL_T°!E40)</f>
        <v/>
      </c>
      <c r="F40" s="46" t="str">
        <f t="shared" si="0"/>
        <v/>
      </c>
      <c r="G40" s="46" t="str">
        <f t="shared" si="1"/>
        <v/>
      </c>
      <c r="H40" s="46" t="str">
        <f t="shared" si="2"/>
        <v/>
      </c>
      <c r="I40" s="46" t="str">
        <f t="shared" si="3"/>
        <v/>
      </c>
    </row>
    <row r="41" spans="2:9" s="12" customFormat="1" x14ac:dyDescent="0.2">
      <c r="B41" s="43"/>
      <c r="C41" s="83" t="str">
        <f>IF(+TEST_qenv_CL_T°!C41="","",+TEST_qenv_CL_T°!C41)</f>
        <v/>
      </c>
      <c r="D41" s="84"/>
      <c r="E41" s="83" t="str">
        <f>IF(+TEST_qenv_CL_T°!E41="","",+TEST_qenv_CL_T°!E41)</f>
        <v/>
      </c>
      <c r="F41" s="46" t="str">
        <f t="shared" si="0"/>
        <v/>
      </c>
      <c r="G41" s="46" t="str">
        <f t="shared" si="1"/>
        <v/>
      </c>
      <c r="H41" s="46" t="str">
        <f t="shared" si="2"/>
        <v/>
      </c>
      <c r="I41" s="46" t="str">
        <f t="shared" si="3"/>
        <v/>
      </c>
    </row>
    <row r="42" spans="2:9" s="12" customFormat="1" x14ac:dyDescent="0.2">
      <c r="B42" s="43"/>
      <c r="C42" s="83" t="str">
        <f>IF(+TEST_qenv_CL_T°!C42="","",+TEST_qenv_CL_T°!C42)</f>
        <v/>
      </c>
      <c r="D42" s="84"/>
      <c r="E42" s="83" t="str">
        <f>IF(+TEST_qenv_CL_T°!E42="","",+TEST_qenv_CL_T°!E42)</f>
        <v/>
      </c>
      <c r="F42" s="46" t="str">
        <f t="shared" si="0"/>
        <v/>
      </c>
      <c r="G42" s="46" t="str">
        <f t="shared" si="1"/>
        <v/>
      </c>
      <c r="H42" s="46" t="str">
        <f t="shared" si="2"/>
        <v/>
      </c>
      <c r="I42" s="46" t="str">
        <f t="shared" si="3"/>
        <v/>
      </c>
    </row>
    <row r="43" spans="2:9" s="12" customFormat="1" x14ac:dyDescent="0.2">
      <c r="B43" s="43"/>
      <c r="C43" s="83" t="str">
        <f>IF(+TEST_qenv_CL_T°!C43="","",+TEST_qenv_CL_T°!C43)</f>
        <v/>
      </c>
      <c r="D43" s="84"/>
      <c r="E43" s="83" t="str">
        <f>IF(+TEST_qenv_CL_T°!E43="","",+TEST_qenv_CL_T°!E43)</f>
        <v/>
      </c>
      <c r="F43" s="46" t="str">
        <f t="shared" si="0"/>
        <v/>
      </c>
      <c r="G43" s="46" t="str">
        <f t="shared" si="1"/>
        <v/>
      </c>
      <c r="H43" s="46" t="str">
        <f t="shared" si="2"/>
        <v/>
      </c>
      <c r="I43" s="46" t="str">
        <f t="shared" si="3"/>
        <v/>
      </c>
    </row>
    <row r="44" spans="2:9" s="12" customFormat="1" x14ac:dyDescent="0.2">
      <c r="B44" s="43"/>
      <c r="C44" s="83" t="str">
        <f>IF(+TEST_qenv_CL_T°!C44="","",+TEST_qenv_CL_T°!C44)</f>
        <v/>
      </c>
      <c r="D44" s="84"/>
      <c r="E44" s="83" t="str">
        <f>IF(+TEST_qenv_CL_T°!E44="","",+TEST_qenv_CL_T°!E44)</f>
        <v/>
      </c>
      <c r="F44" s="46" t="str">
        <f t="shared" si="0"/>
        <v/>
      </c>
      <c r="G44" s="46" t="str">
        <f t="shared" si="1"/>
        <v/>
      </c>
      <c r="H44" s="46" t="str">
        <f t="shared" si="2"/>
        <v/>
      </c>
      <c r="I44" s="46" t="str">
        <f t="shared" si="3"/>
        <v/>
      </c>
    </row>
    <row r="45" spans="2:9" s="12" customFormat="1" x14ac:dyDescent="0.2">
      <c r="B45" s="43"/>
      <c r="C45" s="83" t="str">
        <f>IF(+TEST_qenv_CL_T°!C45="","",+TEST_qenv_CL_T°!C45)</f>
        <v/>
      </c>
      <c r="D45" s="84"/>
      <c r="E45" s="83" t="str">
        <f>IF(+TEST_qenv_CL_T°!E45="","",+TEST_qenv_CL_T°!E45)</f>
        <v/>
      </c>
      <c r="F45" s="46" t="str">
        <f t="shared" si="0"/>
        <v/>
      </c>
      <c r="G45" s="46" t="str">
        <f t="shared" si="1"/>
        <v/>
      </c>
      <c r="H45" s="46" t="str">
        <f t="shared" si="2"/>
        <v/>
      </c>
      <c r="I45" s="46" t="str">
        <f t="shared" si="3"/>
        <v/>
      </c>
    </row>
    <row r="46" spans="2:9" s="12" customFormat="1" x14ac:dyDescent="0.2">
      <c r="B46" s="43"/>
      <c r="C46" s="83">
        <f>IF(+TEST_qenv_CL_T°!C46="","",+TEST_qenv_CL_T°!C46)</f>
        <v>-0.8</v>
      </c>
      <c r="D46" s="84"/>
      <c r="E46" s="85">
        <f>IF(+TEST_qenv_CL_T°!E46="","",+TEST_qenv_CL_T°!E46)</f>
        <v>-0.7</v>
      </c>
      <c r="F46" s="46" t="str">
        <f t="shared" si="0"/>
        <v/>
      </c>
      <c r="G46" s="46">
        <f t="shared" si="1"/>
        <v>-0.8</v>
      </c>
      <c r="H46" s="46" t="str">
        <f t="shared" si="2"/>
        <v/>
      </c>
      <c r="I46" s="46">
        <f t="shared" si="3"/>
        <v>-0.7</v>
      </c>
    </row>
    <row r="47" spans="2:9" s="12" customFormat="1" x14ac:dyDescent="0.2">
      <c r="B47" s="50" t="s">
        <v>22</v>
      </c>
      <c r="C47" s="51">
        <f>IF(COUNTBLANK(F17:F46)=30,0,AVERAGE(F17:F46))</f>
        <v>0</v>
      </c>
      <c r="D47" s="50" t="s">
        <v>23</v>
      </c>
      <c r="E47" s="51">
        <f>IF(COUNTBLANK(H17:H46)=30,0,AVERAGE(H17:H46))</f>
        <v>0</v>
      </c>
    </row>
    <row r="48" spans="2:9" s="12" customFormat="1" x14ac:dyDescent="0.2">
      <c r="B48" s="50" t="s">
        <v>24</v>
      </c>
      <c r="C48" s="51">
        <f>IF(COUNTBLANK(G17:G46)=30,0,AVERAGE(G17:G46))</f>
        <v>-0.8</v>
      </c>
      <c r="D48" s="50" t="s">
        <v>25</v>
      </c>
      <c r="E48" s="51">
        <f>IF(COUNTBLANK(I17:I46)=30,0,AVERAGE(I17:I46))</f>
        <v>-0.7</v>
      </c>
    </row>
    <row r="49" spans="2:14" s="12" customFormat="1" x14ac:dyDescent="0.2">
      <c r="B49" s="50" t="s">
        <v>26</v>
      </c>
      <c r="C49" s="51">
        <f>AVERAGE(C17:C46)</f>
        <v>-0.8</v>
      </c>
      <c r="D49" s="50" t="s">
        <v>27</v>
      </c>
      <c r="E49" s="51">
        <f>AVERAGE(E17:E46)</f>
        <v>-0.7</v>
      </c>
    </row>
    <row r="50" spans="2:14" s="12" customFormat="1" ht="13.5" thickBot="1" x14ac:dyDescent="0.25">
      <c r="B50" s="52"/>
      <c r="C50" s="19" t="s">
        <v>28</v>
      </c>
      <c r="D50" s="53">
        <f>+(C49+E49)/2</f>
        <v>-0.75</v>
      </c>
      <c r="E50" s="54"/>
    </row>
    <row r="51" spans="2:14" s="12" customFormat="1" ht="28.5" customHeight="1" x14ac:dyDescent="0.2">
      <c r="B51" s="102" t="s">
        <v>66</v>
      </c>
      <c r="C51" s="105"/>
      <c r="D51" s="55"/>
      <c r="E51" s="55"/>
    </row>
    <row r="52" spans="2:14" s="59" customFormat="1" ht="38.25" x14ac:dyDescent="0.2">
      <c r="B52" s="56" t="s">
        <v>29</v>
      </c>
      <c r="C52" s="57" t="s">
        <v>87</v>
      </c>
      <c r="D52" s="57" t="s">
        <v>92</v>
      </c>
      <c r="E52" s="56" t="s">
        <v>30</v>
      </c>
      <c r="F52" s="81" t="s">
        <v>94</v>
      </c>
      <c r="G52" s="58" t="s">
        <v>67</v>
      </c>
      <c r="H52" s="58" t="s">
        <v>31</v>
      </c>
      <c r="I52" s="58" t="s">
        <v>32</v>
      </c>
      <c r="J52" s="58" t="s">
        <v>33</v>
      </c>
      <c r="K52" s="58" t="s">
        <v>34</v>
      </c>
      <c r="L52" s="58" t="s">
        <v>35</v>
      </c>
      <c r="M52" s="58" t="s">
        <v>36</v>
      </c>
      <c r="N52" s="58" t="s">
        <v>37</v>
      </c>
    </row>
    <row r="53" spans="2:14" s="12" customFormat="1" x14ac:dyDescent="0.2">
      <c r="B53" s="86">
        <f>IF(+TEST_qenv_CL_T°!B53="","",+TEST_qenv_CL_T°!B53)</f>
        <v>-10.7</v>
      </c>
      <c r="C53" s="87">
        <f>IF(+TEST_qenv_CL_T°!C53="","",+TEST_qenv_CL_T°!C53)</f>
        <v>242.5</v>
      </c>
      <c r="D53" s="62">
        <f t="shared" ref="D53:D65" si="4">IF($E$13="","",IF($E$13="D",IF(B53="","",+C53*(1.204/$E$10)^0.5),IF($E$13="P",IF(B53="","",+C53*(1.204/$E$11)^0.5),"")))</f>
        <v>242.49019760006888</v>
      </c>
      <c r="E53" s="62">
        <f t="shared" ref="E53:E65" si="5">IF(B53="","",B53-D$50)</f>
        <v>-9.9499999999999993</v>
      </c>
      <c r="F53" s="62">
        <f>IF(D53="","",IF($E$13="D",D53*(E$10)/(E$11),D53*(E$11)/(E$10)))</f>
        <v>234.21831639249362</v>
      </c>
      <c r="G53" s="62">
        <f>IF(E53="","",LN(ABS(E53)))</f>
        <v>2.2975725511705014</v>
      </c>
      <c r="H53" s="62">
        <f t="shared" ref="H53:H65" si="6">IF(G53="","",G53-G$67)</f>
        <v>-1.0883210883024979</v>
      </c>
      <c r="I53" s="62">
        <f>IF(H53="","",H53^2)</f>
        <v>1.1844427912439333</v>
      </c>
      <c r="J53" s="62">
        <f>IF(F53="","",LN(F53))</f>
        <v>5.4562536564423691</v>
      </c>
      <c r="K53" s="62">
        <f t="shared" ref="K53:K65" si="7">IF(J53="","",J53-J$67)</f>
        <v>-0.73864260303335172</v>
      </c>
      <c r="L53" s="62">
        <f>IF(K53="","",K53^2)</f>
        <v>0.54559289501588559</v>
      </c>
      <c r="M53" s="62">
        <f>IF(H53="","",H53*K53)</f>
        <v>0.80388032159984724</v>
      </c>
      <c r="N53" s="62">
        <f>IF(G53="","",G53^2)</f>
        <v>5.2788396278921264</v>
      </c>
    </row>
    <row r="54" spans="2:14" s="12" customFormat="1" x14ac:dyDescent="0.2">
      <c r="B54" s="86">
        <f>IF(+TEST_qenv_CL_T°!B54="","",+TEST_qenv_CL_T°!B54)</f>
        <v>-18.7</v>
      </c>
      <c r="C54" s="87">
        <f>IF(+TEST_qenv_CL_T°!C54="","",+TEST_qenv_CL_T°!C54)</f>
        <v>366.4</v>
      </c>
      <c r="D54" s="62">
        <f t="shared" si="4"/>
        <v>366.38518928109374</v>
      </c>
      <c r="E54" s="62">
        <f t="shared" si="5"/>
        <v>-17.95</v>
      </c>
      <c r="F54" s="62">
        <f t="shared" ref="F54:F65" si="8">IF(D54="","",IF($E$13="D",D54*(E$10)/(E$11),D54*(E$11)/(E$10)))</f>
        <v>353.8869737163285</v>
      </c>
      <c r="G54" s="62">
        <f t="shared" ref="G54:G60" si="9">IF(E54="","",LN(ABS(E54)))</f>
        <v>2.8875901149342877</v>
      </c>
      <c r="H54" s="62">
        <f t="shared" si="6"/>
        <v>-0.49830352453871152</v>
      </c>
      <c r="I54" s="62">
        <f t="shared" ref="I54:I65" si="10">IF(H54="","",H54^2)</f>
        <v>0.24830640256770228</v>
      </c>
      <c r="J54" s="62">
        <f t="shared" ref="J54:J60" si="11">IF(F54="","",LN(F54))</f>
        <v>5.868977578864806</v>
      </c>
      <c r="K54" s="62">
        <f t="shared" si="7"/>
        <v>-0.32591868061091489</v>
      </c>
      <c r="L54" s="62">
        <f t="shared" ref="L54:L65" si="12">IF(K54="","",K54^2)</f>
        <v>0.10622298637115955</v>
      </c>
      <c r="M54" s="62">
        <f t="shared" ref="M54:M60" si="13">IF(H54="","",H54*K54)</f>
        <v>0.16240642726142551</v>
      </c>
      <c r="N54" s="62">
        <f t="shared" ref="N54:N60" si="14">IF(G54="","",G54^2)</f>
        <v>8.3381766718662131</v>
      </c>
    </row>
    <row r="55" spans="2:14" s="12" customFormat="1" x14ac:dyDescent="0.2">
      <c r="B55" s="86">
        <f>IF(+TEST_qenv_CL_T°!B55="","",+TEST_qenv_CL_T°!B55)</f>
        <v>-26.8</v>
      </c>
      <c r="C55" s="87">
        <f>IF(+TEST_qenv_CL_T°!C55="","",+TEST_qenv_CL_T°!C55)</f>
        <v>471.7</v>
      </c>
      <c r="D55" s="62">
        <f t="shared" si="4"/>
        <v>471.68093281629893</v>
      </c>
      <c r="E55" s="62">
        <f t="shared" si="5"/>
        <v>-26.05</v>
      </c>
      <c r="F55" s="62">
        <f t="shared" si="8"/>
        <v>455.59084471067729</v>
      </c>
      <c r="G55" s="62">
        <f t="shared" si="9"/>
        <v>3.2600177681993761</v>
      </c>
      <c r="H55" s="62">
        <f t="shared" si="6"/>
        <v>-0.12587587127362321</v>
      </c>
      <c r="I55" s="62">
        <f t="shared" si="10"/>
        <v>1.584473496889376E-2</v>
      </c>
      <c r="J55" s="62">
        <f t="shared" si="11"/>
        <v>6.1215951363550465</v>
      </c>
      <c r="K55" s="62">
        <f t="shared" si="7"/>
        <v>-7.3301123120674383E-2</v>
      </c>
      <c r="L55" s="62">
        <f t="shared" si="12"/>
        <v>5.3730546507522649E-3</v>
      </c>
      <c r="M55" s="62">
        <f t="shared" si="13"/>
        <v>9.2268427381500141E-3</v>
      </c>
      <c r="N55" s="62">
        <f t="shared" si="14"/>
        <v>10.62771584897564</v>
      </c>
    </row>
    <row r="56" spans="2:14" s="12" customFormat="1" x14ac:dyDescent="0.2">
      <c r="B56" s="86">
        <f>IF(+TEST_qenv_CL_T°!B56="","",+TEST_qenv_CL_T°!B56)</f>
        <v>-34.799999999999997</v>
      </c>
      <c r="C56" s="87">
        <f>IF(+TEST_qenv_CL_T°!C56="","",+TEST_qenv_CL_T°!C56)</f>
        <v>553</v>
      </c>
      <c r="D56" s="62">
        <f t="shared" si="4"/>
        <v>552.97764648593034</v>
      </c>
      <c r="E56" s="62">
        <f t="shared" si="5"/>
        <v>-34.049999999999997</v>
      </c>
      <c r="F56" s="62">
        <f t="shared" si="8"/>
        <v>534.11434624762467</v>
      </c>
      <c r="G56" s="62">
        <f t="shared" si="9"/>
        <v>3.5278300325955212</v>
      </c>
      <c r="H56" s="62">
        <f t="shared" si="6"/>
        <v>0.14193639312252193</v>
      </c>
      <c r="I56" s="62">
        <f t="shared" si="10"/>
        <v>2.0145939692631089E-2</v>
      </c>
      <c r="J56" s="62">
        <f t="shared" si="11"/>
        <v>6.2806099475871653</v>
      </c>
      <c r="K56" s="62">
        <f t="shared" si="7"/>
        <v>8.5713688111444419E-2</v>
      </c>
      <c r="L56" s="62">
        <f t="shared" si="12"/>
        <v>7.3468363296659688E-3</v>
      </c>
      <c r="M56" s="62">
        <f t="shared" si="13"/>
        <v>1.2165891731767209E-2</v>
      </c>
      <c r="N56" s="62">
        <f t="shared" si="14"/>
        <v>12.445584738882916</v>
      </c>
    </row>
    <row r="57" spans="2:14" s="12" customFormat="1" x14ac:dyDescent="0.2">
      <c r="B57" s="86">
        <f>IF(+TEST_qenv_CL_T°!B57="","",+TEST_qenv_CL_T°!B57)</f>
        <v>-42.3</v>
      </c>
      <c r="C57" s="87">
        <f>IF(+TEST_qenv_CL_T°!C57="","",+TEST_qenv_CL_T°!C57)</f>
        <v>639.6</v>
      </c>
      <c r="D57" s="62">
        <f t="shared" si="4"/>
        <v>639.57414591754252</v>
      </c>
      <c r="E57" s="62">
        <f t="shared" si="5"/>
        <v>-41.55</v>
      </c>
      <c r="F57" s="62">
        <f t="shared" si="8"/>
        <v>617.7568460397481</v>
      </c>
      <c r="G57" s="62">
        <f t="shared" si="9"/>
        <v>3.7268975213014572</v>
      </c>
      <c r="H57" s="62">
        <f t="shared" si="6"/>
        <v>0.34100388182845798</v>
      </c>
      <c r="I57" s="62">
        <f t="shared" si="10"/>
        <v>0.11628364742207693</v>
      </c>
      <c r="J57" s="62">
        <f t="shared" si="11"/>
        <v>6.4260949270246304</v>
      </c>
      <c r="K57" s="62">
        <f t="shared" si="7"/>
        <v>0.2311986675489095</v>
      </c>
      <c r="L57" s="62">
        <f t="shared" si="12"/>
        <v>5.3452823876391178E-2</v>
      </c>
      <c r="M57" s="62">
        <f t="shared" si="13"/>
        <v>7.8839643107745272E-2</v>
      </c>
      <c r="N57" s="62">
        <f t="shared" si="14"/>
        <v>13.889765134282946</v>
      </c>
    </row>
    <row r="58" spans="2:14" s="12" customFormat="1" x14ac:dyDescent="0.2">
      <c r="B58" s="86">
        <f>IF(+TEST_qenv_CL_T°!B58="","",+TEST_qenv_CL_T°!B58)</f>
        <v>-51.3</v>
      </c>
      <c r="C58" s="87">
        <f>IF(+TEST_qenv_CL_T°!C58="","",+TEST_qenv_CL_T°!C58)</f>
        <v>726.8</v>
      </c>
      <c r="D58" s="62">
        <f t="shared" si="4"/>
        <v>726.77062109579401</v>
      </c>
      <c r="E58" s="62">
        <f t="shared" si="5"/>
        <v>-50.55</v>
      </c>
      <c r="F58" s="62">
        <f t="shared" si="8"/>
        <v>701.97885506830664</v>
      </c>
      <c r="G58" s="62">
        <f t="shared" si="9"/>
        <v>3.9229629454664803</v>
      </c>
      <c r="H58" s="62">
        <f t="shared" si="6"/>
        <v>0.53706930599348102</v>
      </c>
      <c r="I58" s="62">
        <f t="shared" si="10"/>
        <v>0.28844343944031936</v>
      </c>
      <c r="J58" s="62">
        <f t="shared" si="11"/>
        <v>6.5539032825868473</v>
      </c>
      <c r="K58" s="62">
        <f t="shared" si="7"/>
        <v>0.35900702311112642</v>
      </c>
      <c r="L58" s="62">
        <f t="shared" si="12"/>
        <v>0.12888604264311287</v>
      </c>
      <c r="M58" s="62">
        <f t="shared" si="13"/>
        <v>0.19281165274907827</v>
      </c>
      <c r="N58" s="62">
        <f t="shared" si="14"/>
        <v>15.389638271503042</v>
      </c>
    </row>
    <row r="59" spans="2:14" s="12" customFormat="1" x14ac:dyDescent="0.2">
      <c r="B59" s="86">
        <f>IF(+TEST_qenv_CL_T°!B59="","",+TEST_qenv_CL_T°!B59)</f>
        <v>-59.8</v>
      </c>
      <c r="C59" s="87">
        <f>IF(+TEST_qenv_CL_T°!C59="","",+TEST_qenv_CL_T°!C59)</f>
        <v>805.6</v>
      </c>
      <c r="D59" s="62">
        <f t="shared" si="4"/>
        <v>805.56743582109493</v>
      </c>
      <c r="E59" s="62">
        <f t="shared" si="5"/>
        <v>-59.05</v>
      </c>
      <c r="F59" s="62">
        <f t="shared" si="8"/>
        <v>778.08773478677483</v>
      </c>
      <c r="G59" s="62">
        <f t="shared" si="9"/>
        <v>4.0783845426433709</v>
      </c>
      <c r="H59" s="62">
        <f t="shared" si="6"/>
        <v>0.69249090317037165</v>
      </c>
      <c r="I59" s="62">
        <f t="shared" si="10"/>
        <v>0.47954365097371704</v>
      </c>
      <c r="J59" s="62">
        <f t="shared" si="11"/>
        <v>6.6568392874691833</v>
      </c>
      <c r="K59" s="62">
        <f t="shared" si="7"/>
        <v>0.46194302799346243</v>
      </c>
      <c r="L59" s="62">
        <f t="shared" si="12"/>
        <v>0.21339136111176882</v>
      </c>
      <c r="M59" s="62">
        <f t="shared" si="13"/>
        <v>0.3198913446684491</v>
      </c>
      <c r="N59" s="62">
        <f t="shared" si="14"/>
        <v>16.633220477672378</v>
      </c>
    </row>
    <row r="60" spans="2:14" s="12" customFormat="1" x14ac:dyDescent="0.2">
      <c r="B60" s="86" t="str">
        <f>IF(+TEST_qenv_CL_T°!B60="","",+TEST_qenv_CL_T°!B60)</f>
        <v/>
      </c>
      <c r="C60" s="87" t="str">
        <f>IF(+TEST_qenv_CL_T°!C60="","",+TEST_qenv_CL_T°!C60)</f>
        <v/>
      </c>
      <c r="D60" s="62" t="str">
        <f t="shared" si="4"/>
        <v/>
      </c>
      <c r="E60" s="62" t="str">
        <f t="shared" si="5"/>
        <v/>
      </c>
      <c r="F60" s="62" t="str">
        <f t="shared" si="8"/>
        <v/>
      </c>
      <c r="G60" s="62" t="str">
        <f t="shared" si="9"/>
        <v/>
      </c>
      <c r="H60" s="62" t="str">
        <f t="shared" si="6"/>
        <v/>
      </c>
      <c r="I60" s="62" t="str">
        <f t="shared" si="10"/>
        <v/>
      </c>
      <c r="J60" s="62" t="str">
        <f t="shared" si="11"/>
        <v/>
      </c>
      <c r="K60" s="62" t="str">
        <f t="shared" si="7"/>
        <v/>
      </c>
      <c r="L60" s="62" t="str">
        <f t="shared" si="12"/>
        <v/>
      </c>
      <c r="M60" s="62" t="str">
        <f t="shared" si="13"/>
        <v/>
      </c>
      <c r="N60" s="62" t="str">
        <f t="shared" si="14"/>
        <v/>
      </c>
    </row>
    <row r="61" spans="2:14" s="12" customFormat="1" x14ac:dyDescent="0.2">
      <c r="B61" s="86" t="str">
        <f>IF(+TEST_qenv_CL_T°!B61="","",+TEST_qenv_CL_T°!B61)</f>
        <v/>
      </c>
      <c r="C61" s="87" t="str">
        <f>IF(+TEST_qenv_CL_T°!C61="","",+TEST_qenv_CL_T°!C61)</f>
        <v/>
      </c>
      <c r="D61" s="62" t="str">
        <f t="shared" si="4"/>
        <v/>
      </c>
      <c r="E61" s="62" t="str">
        <f t="shared" si="5"/>
        <v/>
      </c>
      <c r="F61" s="62" t="str">
        <f t="shared" si="8"/>
        <v/>
      </c>
      <c r="G61" s="62" t="str">
        <f>IF(E61="","",LN(ABS(E61)))</f>
        <v/>
      </c>
      <c r="H61" s="62" t="str">
        <f t="shared" si="6"/>
        <v/>
      </c>
      <c r="I61" s="62" t="str">
        <f t="shared" si="10"/>
        <v/>
      </c>
      <c r="J61" s="62" t="str">
        <f>IF(F61="","",LN(F61))</f>
        <v/>
      </c>
      <c r="K61" s="62" t="str">
        <f t="shared" si="7"/>
        <v/>
      </c>
      <c r="L61" s="62" t="str">
        <f t="shared" si="12"/>
        <v/>
      </c>
      <c r="M61" s="62" t="str">
        <f>IF(H61="","",H61*K61)</f>
        <v/>
      </c>
      <c r="N61" s="62" t="str">
        <f>IF(G61="","",G61^2)</f>
        <v/>
      </c>
    </row>
    <row r="62" spans="2:14" s="12" customFormat="1" x14ac:dyDescent="0.2">
      <c r="B62" s="86" t="str">
        <f>IF(+TEST_qenv_CL_T°!B62="","",+TEST_qenv_CL_T°!B62)</f>
        <v/>
      </c>
      <c r="C62" s="87" t="str">
        <f>IF(+TEST_qenv_CL_T°!C62="","",+TEST_qenv_CL_T°!C62)</f>
        <v/>
      </c>
      <c r="D62" s="62" t="str">
        <f t="shared" si="4"/>
        <v/>
      </c>
      <c r="E62" s="62" t="str">
        <f t="shared" si="5"/>
        <v/>
      </c>
      <c r="F62" s="62" t="str">
        <f t="shared" si="8"/>
        <v/>
      </c>
      <c r="G62" s="62" t="str">
        <f>IF(E62="","",LN(ABS(E62)))</f>
        <v/>
      </c>
      <c r="H62" s="62" t="str">
        <f t="shared" si="6"/>
        <v/>
      </c>
      <c r="I62" s="62" t="str">
        <f t="shared" si="10"/>
        <v/>
      </c>
      <c r="J62" s="62" t="str">
        <f>IF(F62="","",LN(F62))</f>
        <v/>
      </c>
      <c r="K62" s="62" t="str">
        <f t="shared" si="7"/>
        <v/>
      </c>
      <c r="L62" s="62" t="str">
        <f t="shared" si="12"/>
        <v/>
      </c>
      <c r="M62" s="62" t="str">
        <f>IF(H62="","",H62*K62)</f>
        <v/>
      </c>
      <c r="N62" s="62" t="str">
        <f>IF(G62="","",G62^2)</f>
        <v/>
      </c>
    </row>
    <row r="63" spans="2:14" s="12" customFormat="1" x14ac:dyDescent="0.2">
      <c r="B63" s="86" t="str">
        <f>IF(+TEST_qenv_CL_T°!B63="","",+TEST_qenv_CL_T°!B63)</f>
        <v/>
      </c>
      <c r="C63" s="87" t="str">
        <f>IF(+TEST_qenv_CL_T°!C63="","",+TEST_qenv_CL_T°!C63)</f>
        <v/>
      </c>
      <c r="D63" s="62" t="str">
        <f t="shared" si="4"/>
        <v/>
      </c>
      <c r="E63" s="62" t="str">
        <f t="shared" si="5"/>
        <v/>
      </c>
      <c r="F63" s="62" t="str">
        <f t="shared" si="8"/>
        <v/>
      </c>
      <c r="G63" s="62" t="str">
        <f>IF(E63="","",LN(ABS(E63)))</f>
        <v/>
      </c>
      <c r="H63" s="62" t="str">
        <f t="shared" si="6"/>
        <v/>
      </c>
      <c r="I63" s="62" t="str">
        <f t="shared" si="10"/>
        <v/>
      </c>
      <c r="J63" s="62" t="str">
        <f>IF(F63="","",LN(F63))</f>
        <v/>
      </c>
      <c r="K63" s="62" t="str">
        <f t="shared" si="7"/>
        <v/>
      </c>
      <c r="L63" s="62" t="str">
        <f t="shared" si="12"/>
        <v/>
      </c>
      <c r="M63" s="62" t="str">
        <f>IF(H63="","",H63*K63)</f>
        <v/>
      </c>
      <c r="N63" s="62" t="str">
        <f>IF(G63="","",G63^2)</f>
        <v/>
      </c>
    </row>
    <row r="64" spans="2:14" s="12" customFormat="1" x14ac:dyDescent="0.2">
      <c r="B64" s="86" t="str">
        <f>IF(+TEST_qenv_CL_T°!B64="","",+TEST_qenv_CL_T°!B64)</f>
        <v/>
      </c>
      <c r="C64" s="87" t="str">
        <f>IF(+TEST_qenv_CL_T°!C64="","",+TEST_qenv_CL_T°!C64)</f>
        <v/>
      </c>
      <c r="D64" s="62" t="str">
        <f t="shared" si="4"/>
        <v/>
      </c>
      <c r="E64" s="62" t="str">
        <f t="shared" si="5"/>
        <v/>
      </c>
      <c r="F64" s="62" t="str">
        <f t="shared" si="8"/>
        <v/>
      </c>
      <c r="G64" s="62" t="str">
        <f>IF(E64="","",LN(ABS(E64)))</f>
        <v/>
      </c>
      <c r="H64" s="62" t="str">
        <f t="shared" si="6"/>
        <v/>
      </c>
      <c r="I64" s="62" t="str">
        <f t="shared" si="10"/>
        <v/>
      </c>
      <c r="J64" s="62" t="str">
        <f>IF(F64="","",LN(F64))</f>
        <v/>
      </c>
      <c r="K64" s="62" t="str">
        <f t="shared" si="7"/>
        <v/>
      </c>
      <c r="L64" s="62" t="str">
        <f t="shared" si="12"/>
        <v/>
      </c>
      <c r="M64" s="62" t="str">
        <f>IF(H64="","",H64*K64)</f>
        <v/>
      </c>
      <c r="N64" s="62" t="str">
        <f>IF(G64="","",G64^2)</f>
        <v/>
      </c>
    </row>
    <row r="65" spans="2:14" s="12" customFormat="1" x14ac:dyDescent="0.2">
      <c r="B65" s="86" t="str">
        <f>IF(+TEST_qenv_CL_T°!B65="","",+TEST_qenv_CL_T°!B65)</f>
        <v/>
      </c>
      <c r="C65" s="88" t="str">
        <f>IF(+TEST_qenv_CL_T°!C65="","",+TEST_qenv_CL_T°!C65)</f>
        <v/>
      </c>
      <c r="D65" s="62" t="str">
        <f t="shared" si="4"/>
        <v/>
      </c>
      <c r="E65" s="62" t="str">
        <f t="shared" si="5"/>
        <v/>
      </c>
      <c r="F65" s="62" t="str">
        <f t="shared" si="8"/>
        <v/>
      </c>
      <c r="G65" s="62" t="str">
        <f>IF(E65="","",LN(ABS(E65)))</f>
        <v/>
      </c>
      <c r="H65" s="62" t="str">
        <f t="shared" si="6"/>
        <v/>
      </c>
      <c r="I65" s="62" t="str">
        <f t="shared" si="10"/>
        <v/>
      </c>
      <c r="J65" s="62" t="str">
        <f>IF(F65="","",LN(F65))</f>
        <v/>
      </c>
      <c r="K65" s="62" t="str">
        <f t="shared" si="7"/>
        <v/>
      </c>
      <c r="L65" s="62" t="str">
        <f t="shared" si="12"/>
        <v/>
      </c>
      <c r="M65" s="62" t="str">
        <f>IF(H65="","",H65*K65)</f>
        <v/>
      </c>
      <c r="N65" s="62" t="str">
        <f>IF(G65="","",G65^2)</f>
        <v/>
      </c>
    </row>
    <row r="66" spans="2:14" s="12" customFormat="1" x14ac:dyDescent="0.2">
      <c r="F66" s="64"/>
    </row>
    <row r="67" spans="2:14" s="12" customFormat="1" x14ac:dyDescent="0.2">
      <c r="B67" s="65" t="s">
        <v>40</v>
      </c>
      <c r="C67" s="33">
        <f>1/(C$14-1)*I68</f>
        <v>0.39216843438487892</v>
      </c>
      <c r="F67" s="65" t="s">
        <v>38</v>
      </c>
      <c r="G67" s="33">
        <f>AVERAGE(G53:G65)</f>
        <v>3.3858936394729993</v>
      </c>
      <c r="H67" s="66"/>
      <c r="I67" s="65" t="s">
        <v>39</v>
      </c>
      <c r="J67" s="33">
        <f>AVERAGE(J53:J65)</f>
        <v>6.1948962594757209</v>
      </c>
      <c r="K67" s="66"/>
      <c r="L67" s="67" t="s">
        <v>70</v>
      </c>
      <c r="M67" s="33">
        <f>SUM(M53:M65)</f>
        <v>1.5792221238564625</v>
      </c>
      <c r="N67" s="66"/>
    </row>
    <row r="68" spans="2:14" s="12" customFormat="1" x14ac:dyDescent="0.2">
      <c r="B68" s="65" t="s">
        <v>41</v>
      </c>
      <c r="C68" s="33">
        <f>1/(C$14-1)*L68</f>
        <v>0.17671099999978934</v>
      </c>
      <c r="F68" s="66"/>
      <c r="G68" s="66"/>
      <c r="H68" s="67" t="s">
        <v>68</v>
      </c>
      <c r="I68" s="33">
        <f>SUM(I53:I65)</f>
        <v>2.3530106063092737</v>
      </c>
      <c r="J68" s="66"/>
      <c r="K68" s="67" t="s">
        <v>69</v>
      </c>
      <c r="L68" s="33">
        <f>SUM(L53:L65)</f>
        <v>1.0602659999987361</v>
      </c>
      <c r="M68" s="67" t="s">
        <v>71</v>
      </c>
      <c r="N68" s="33">
        <f>SUM(N53:N65)</f>
        <v>82.602940771075268</v>
      </c>
    </row>
    <row r="69" spans="2:14" s="12" customFormat="1" ht="13.5" thickBot="1" x14ac:dyDescent="0.25">
      <c r="B69" s="65" t="s">
        <v>42</v>
      </c>
      <c r="C69" s="33">
        <f>1/(C$14-1)*M67</f>
        <v>0.26320368730941041</v>
      </c>
    </row>
    <row r="70" spans="2:14" s="12" customFormat="1" ht="19.5" customHeight="1" x14ac:dyDescent="0.2">
      <c r="B70" s="96" t="s">
        <v>65</v>
      </c>
      <c r="C70" s="97"/>
      <c r="H70" s="55"/>
      <c r="I70" s="102" t="s">
        <v>43</v>
      </c>
      <c r="J70" s="103"/>
      <c r="K70" s="104"/>
    </row>
    <row r="71" spans="2:14" s="12" customFormat="1" ht="15.75" x14ac:dyDescent="0.2">
      <c r="B71" s="68" t="s">
        <v>44</v>
      </c>
      <c r="C71" s="69">
        <f>C69/C67</f>
        <v>0.67114959857044254</v>
      </c>
      <c r="D71" s="70" t="s">
        <v>45</v>
      </c>
      <c r="E71" s="33">
        <f>SQRT((C68-C71*C69)/C67/(C14-2))</f>
        <v>5.6208573047654585E-3</v>
      </c>
      <c r="F71" s="70" t="s">
        <v>46</v>
      </c>
      <c r="G71" s="33">
        <f>E71*L29</f>
        <v>1.4448975787630089E-2</v>
      </c>
      <c r="I71" s="68" t="s">
        <v>47</v>
      </c>
      <c r="J71" s="106" t="str">
        <f>CONCATENATE("[ ",ROUND(C71-G71,5)," ; ",ROUND(C71+G71,5)," ]")</f>
        <v>[ 0,6567 ; 0,6856 ]</v>
      </c>
      <c r="K71" s="99"/>
    </row>
    <row r="72" spans="2:14" s="12" customFormat="1" ht="18.75" customHeight="1" x14ac:dyDescent="0.2">
      <c r="B72" s="68" t="s">
        <v>48</v>
      </c>
      <c r="C72" s="69">
        <f>EXP(J67-C71*G67)</f>
        <v>50.524335057558538</v>
      </c>
      <c r="D72" s="70" t="s">
        <v>49</v>
      </c>
      <c r="E72" s="33">
        <f>E71*SQRT(N68/C14)</f>
        <v>1.9308622625500392E-2</v>
      </c>
      <c r="F72" s="70" t="s">
        <v>50</v>
      </c>
      <c r="G72" s="33">
        <f>E72*L29</f>
        <v>4.9634745321111312E-2</v>
      </c>
      <c r="I72" s="68" t="s">
        <v>51</v>
      </c>
      <c r="J72" s="98" t="str">
        <f>CONCATENATE("[ ",ROUND(C72*EXP(-G72),3)," ; ",ROUND(C72*EXP(G72),3)," ]")</f>
        <v>[ 48,078 ; 53,095 ]</v>
      </c>
      <c r="K72" s="99"/>
    </row>
    <row r="73" spans="2:14" s="72" customFormat="1" ht="28.5" x14ac:dyDescent="0.2">
      <c r="B73" s="82" t="s">
        <v>96</v>
      </c>
      <c r="C73" s="71">
        <f>IF(E13="D",C72*(E11/E7)^(1-C71),C72*(E10/E7)^(1-C71))</f>
        <v>51.105662702930822</v>
      </c>
      <c r="I73" s="82" t="s">
        <v>97</v>
      </c>
      <c r="J73" s="100" t="str">
        <f>CONCATENATE("[ ",ROUND(C73*EXP(-G72),3)," ; ",ROUND(C73*EXP(G72),3)," ]")</f>
        <v>[ 48,631 ; 53,706 ]</v>
      </c>
      <c r="K73" s="101"/>
    </row>
    <row r="74" spans="2:14" s="12" customFormat="1" x14ac:dyDescent="0.2">
      <c r="B74" s="17"/>
      <c r="C74" s="73"/>
      <c r="I74" s="74"/>
      <c r="J74" s="45"/>
      <c r="K74" s="75"/>
    </row>
    <row r="75" spans="2:14" s="12" customFormat="1" x14ac:dyDescent="0.2">
      <c r="B75" s="68" t="s">
        <v>52</v>
      </c>
      <c r="C75" s="76">
        <f>C69/SQRT(C67*C68)</f>
        <v>0.99982469582985323</v>
      </c>
      <c r="D75" s="68" t="s">
        <v>85</v>
      </c>
      <c r="E75" s="76">
        <f>+C75^2</f>
        <v>0.99964942239125854</v>
      </c>
      <c r="I75" s="74"/>
      <c r="J75" s="45"/>
      <c r="K75" s="75"/>
    </row>
    <row r="76" spans="2:14" s="12" customFormat="1" x14ac:dyDescent="0.2">
      <c r="B76" s="17"/>
      <c r="C76" s="73"/>
      <c r="I76" s="74"/>
      <c r="J76" s="45"/>
      <c r="K76" s="75"/>
    </row>
    <row r="77" spans="2:14" s="12" customFormat="1" ht="15.75" x14ac:dyDescent="0.2">
      <c r="B77" s="68" t="s">
        <v>84</v>
      </c>
      <c r="C77" s="76">
        <f>C73*50^C71</f>
        <v>705.88192387202048</v>
      </c>
      <c r="D77" s="70" t="s">
        <v>53</v>
      </c>
      <c r="E77" s="33">
        <f>E$71*SQRT((1-1/C$14)*C$67+(LN(50)-G$67)^2)</f>
        <v>4.400655596106199E-3</v>
      </c>
      <c r="F77" s="70" t="s">
        <v>54</v>
      </c>
      <c r="G77" s="33">
        <f>E77*L$29</f>
        <v>1.1312325275350596E-2</v>
      </c>
      <c r="I77" s="68" t="s">
        <v>81</v>
      </c>
      <c r="J77" s="91" t="str">
        <f>CONCATENATE("[ ",ROUND(C77*EXP(-G77),3)," ; ",ROUND(C77*EXP(G77),3)," ]")</f>
        <v>[ 697,942 ; 713,912 ]</v>
      </c>
      <c r="K77" s="91"/>
      <c r="L77" s="68" t="s">
        <v>79</v>
      </c>
      <c r="M77" s="77">
        <f>(EXP(G77)-EXP(-G77))/2</f>
        <v>1.1312566547493574E-2</v>
      </c>
    </row>
    <row r="78" spans="2:14" s="12" customFormat="1" x14ac:dyDescent="0.2">
      <c r="B78" s="68" t="s">
        <v>55</v>
      </c>
      <c r="C78" s="76">
        <f>C77/C4</f>
        <v>2.5765875451599523</v>
      </c>
      <c r="D78" s="78"/>
      <c r="E78" s="68" t="s">
        <v>56</v>
      </c>
      <c r="F78" s="77">
        <f>SQRT(M77^2+E4^2)</f>
        <v>0.10063783663161421</v>
      </c>
      <c r="G78" s="48"/>
      <c r="I78" s="68" t="s">
        <v>57</v>
      </c>
      <c r="J78" s="91" t="str">
        <f>CONCATENATE("[ ",ROUND(C78*(1-F78),5)," ; ",ROUND(C78*(1+F78),5)," ]")</f>
        <v>[ 2,31729 ; 2,83589 ]</v>
      </c>
      <c r="K78" s="91"/>
      <c r="M78" s="64"/>
    </row>
    <row r="79" spans="2:14" s="12" customFormat="1" x14ac:dyDescent="0.2">
      <c r="B79" s="17"/>
      <c r="C79" s="73"/>
      <c r="I79" s="74"/>
      <c r="J79" s="45"/>
      <c r="K79" s="75"/>
      <c r="M79" s="64"/>
    </row>
    <row r="80" spans="2:14" s="12" customFormat="1" ht="15.75" x14ac:dyDescent="0.2">
      <c r="B80" s="68" t="s">
        <v>83</v>
      </c>
      <c r="C80" s="76">
        <f>C73*4^C71</f>
        <v>129.58100556006988</v>
      </c>
      <c r="D80" s="70" t="s">
        <v>59</v>
      </c>
      <c r="E80" s="33">
        <f>E$71*SQRT((1-1/C$14)*C$67+(LN(4)-G$67)^2)</f>
        <v>1.1702378752231256E-2</v>
      </c>
      <c r="F80" s="70" t="s">
        <v>60</v>
      </c>
      <c r="G80" s="33">
        <f>E80*L$29</f>
        <v>3.0082134820485669E-2</v>
      </c>
      <c r="I80" s="68" t="s">
        <v>82</v>
      </c>
      <c r="J80" s="91" t="str">
        <f>CONCATENATE("[ ",ROUND(C80*EXP(-G80),3)," ; ",ROUND(C80*EXP(G80),3)," ]")</f>
        <v>[ 125,741 ; 133,538 ]</v>
      </c>
      <c r="K80" s="91"/>
      <c r="L80" s="68" t="s">
        <v>80</v>
      </c>
      <c r="M80" s="77">
        <f>(EXP(G80)-EXP(-G80))/2</f>
        <v>3.0086672087730859E-2</v>
      </c>
    </row>
    <row r="81" spans="2:11" s="12" customFormat="1" x14ac:dyDescent="0.2">
      <c r="B81" s="68" t="s">
        <v>61</v>
      </c>
      <c r="C81" s="76">
        <f>C80/C5</f>
        <v>0.53085213256890573</v>
      </c>
      <c r="D81" s="68"/>
      <c r="E81" s="68" t="s">
        <v>63</v>
      </c>
      <c r="F81" s="77">
        <f>SQRT(M80^2+E5^2)</f>
        <v>3.0086672087730859E-2</v>
      </c>
      <c r="G81" s="48"/>
      <c r="I81" s="68" t="s">
        <v>62</v>
      </c>
      <c r="J81" s="91" t="str">
        <f>CONCATENATE("[ ",ROUND(C81*(1-F81),5)," ; ",ROUND(C81*(1+F81),5)," ]")</f>
        <v>[ 0,51488 ; 0,54682 ]</v>
      </c>
      <c r="K81" s="91"/>
    </row>
    <row r="82" spans="2:11" s="12" customFormat="1" x14ac:dyDescent="0.2">
      <c r="B82" s="41" t="s">
        <v>78</v>
      </c>
    </row>
    <row r="83" spans="2:11" s="12" customFormat="1" x14ac:dyDescent="0.2">
      <c r="B83" s="68" t="s">
        <v>88</v>
      </c>
      <c r="C83" s="79">
        <f>+(1/3600)*C73*(E7/2)^0.5*4^(C71-0.5)*10000</f>
        <v>139.63911734378925</v>
      </c>
      <c r="D83" s="12">
        <f>+(C83)^0.5</f>
        <v>11.816899650237758</v>
      </c>
    </row>
    <row r="84" spans="2:11" s="12" customFormat="1" ht="12.75" customHeight="1" x14ac:dyDescent="0.2">
      <c r="B84" s="107" t="s">
        <v>89</v>
      </c>
      <c r="C84" s="107"/>
      <c r="D84" s="107"/>
      <c r="E84" s="9"/>
      <c r="F84" s="9"/>
      <c r="G84" s="9"/>
      <c r="H84" s="9"/>
    </row>
    <row r="85" spans="2:11" s="12" customFormat="1" ht="29.25" customHeight="1" x14ac:dyDescent="0.2">
      <c r="B85" s="107"/>
      <c r="C85" s="107"/>
      <c r="D85" s="107"/>
      <c r="E85" s="9"/>
    </row>
    <row r="86" spans="2:11" s="12" customFormat="1" x14ac:dyDescent="0.2">
      <c r="C86" s="9"/>
      <c r="D86" s="9"/>
      <c r="E86" s="9"/>
    </row>
    <row r="87" spans="2:11" s="12" customFormat="1" x14ac:dyDescent="0.2">
      <c r="B87" s="92"/>
      <c r="C87" s="92"/>
      <c r="D87" s="92"/>
    </row>
    <row r="88" spans="2:11" s="12" customFormat="1" x14ac:dyDescent="0.2">
      <c r="D88" s="80">
        <f>+M67/(I68*L68)^0.5</f>
        <v>0.99982469582985323</v>
      </c>
    </row>
  </sheetData>
  <mergeCells count="16">
    <mergeCell ref="J80:K80"/>
    <mergeCell ref="J81:K81"/>
    <mergeCell ref="B84:D85"/>
    <mergeCell ref="B87:D87"/>
    <mergeCell ref="I70:K70"/>
    <mergeCell ref="J71:K71"/>
    <mergeCell ref="J72:K72"/>
    <mergeCell ref="J73:K73"/>
    <mergeCell ref="J77:K77"/>
    <mergeCell ref="J78:K78"/>
    <mergeCell ref="B70:C70"/>
    <mergeCell ref="B2:E2"/>
    <mergeCell ref="B6:E6"/>
    <mergeCell ref="B12:E12"/>
    <mergeCell ref="B15:E15"/>
    <mergeCell ref="B51:C5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Help</vt:lpstr>
      <vt:lpstr>TEST_qenv_CL_T°</vt:lpstr>
      <vt:lpstr>TEST_qenv_CL_densite</vt:lpstr>
      <vt:lpstr>TEST_qenv_CL_T°!Zone_d_impression</vt:lpstr>
    </vt:vector>
  </TitlesOfParts>
  <Company>CETE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CardonP</dc:creator>
  <cp:lastModifiedBy>lucille.labat</cp:lastModifiedBy>
  <cp:lastPrinted>2013-04-11T07:30:35Z</cp:lastPrinted>
  <dcterms:created xsi:type="dcterms:W3CDTF">2010-05-07T09:35:20Z</dcterms:created>
  <dcterms:modified xsi:type="dcterms:W3CDTF">2017-06-01T07:00:18Z</dcterms:modified>
</cp:coreProperties>
</file>