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workbookProtection workbookPassword="CAC5" lockStructure="1"/>
  <bookViews>
    <workbookView xWindow="28680" yWindow="-120" windowWidth="29040" windowHeight="15840"/>
  </bookViews>
  <sheets>
    <sheet name="Mode chauffage" sheetId="7" r:id="rId1"/>
    <sheet name="Mode refroidissement" sheetId="9" r:id="rId2"/>
    <sheet name="Calcul chauffage" sheetId="6" state="hidden" r:id="rId3"/>
    <sheet name="Calcul refroidissement" sheetId="10" state="hidden" r:id="rId4"/>
    <sheet name="Ressources" sheetId="11" state="hidden" r:id="rId5"/>
  </sheets>
  <definedNames>
    <definedName name="Cp" localSheetId="2">'Calcul chauffage'!$E$25</definedName>
    <definedName name="Cp" localSheetId="3">'Calcul refroidissement'!$E$23</definedName>
    <definedName name="Cv">'Calcul refroidissement'!$E$24</definedName>
    <definedName name="Dispo_Eff_ch">'Mode chauffage'!$F$24</definedName>
    <definedName name="Dispo_eff_fr">'Mode refroidissement'!$F$24</definedName>
    <definedName name="Eff_ech_ch" localSheetId="2">'Calcul chauffage'!$E$11</definedName>
    <definedName name="Eff_ech_fr" localSheetId="3">'Calcul refroidissement'!$E$11</definedName>
    <definedName name="Eff_saisie">'Mode chauffage'!$F$25</definedName>
    <definedName name="FB">'Calcul refroidissement'!$M$36</definedName>
    <definedName name="Id_mode_ch">'Mode chauffage'!$F$13</definedName>
    <definedName name="Id_mode_fr">'Mode refroidissement'!$F$13</definedName>
    <definedName name="Is_OK_ch">'Calcul chauffage'!$E$21</definedName>
    <definedName name="Is_OK_fr">'Calcul refroidissement'!$E$19</definedName>
    <definedName name="Lv">'Calcul refroidissement'!$E$25</definedName>
    <definedName name="Modes">Ressources!$B$12:$B$13</definedName>
    <definedName name="Qrecycl_rep" localSheetId="3">'Calcul refroidissement'!$E$15</definedName>
    <definedName name="Qrecycl_rep">'Calcul chauffage'!$E$15</definedName>
    <definedName name="Qrecycl_souf" localSheetId="3">'Calcul refroidissement'!$E$13</definedName>
    <definedName name="Qrecycl_souf">'Calcul chauffage'!$E$13</definedName>
    <definedName name="qrecycle_fr_extr">'Mode refroidissement'!$F$29</definedName>
    <definedName name="qrecycle_fr_int">'Mode refroidissement'!$F$28</definedName>
    <definedName name="Qrep" localSheetId="3">'Calcul refroidissement'!$E$14</definedName>
    <definedName name="Qrep">'Calcul chauffage'!$E$14</definedName>
    <definedName name="Qsouf" localSheetId="3">'Calcul refroidissement'!$E$12</definedName>
    <definedName name="Qsouf">'Calcul chauffage'!$E$12</definedName>
    <definedName name="Rho_ref" localSheetId="3">'Calcul refroidissement'!$E$22</definedName>
    <definedName name="Rho_ref">'Calcul chauffage'!$E$24</definedName>
    <definedName name="solver_adj" localSheetId="2" hidden="1">'Calcul chauffage'!$L$54</definedName>
    <definedName name="solver_adj" localSheetId="3" hidden="1">'Calcul refroidissement'!$L$55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'Calcul chauffage'!$K$61</definedName>
    <definedName name="solver_lhs1" localSheetId="3" hidden="1">'Calcul refroidissement'!$K$62</definedName>
    <definedName name="solver_lhs2" localSheetId="2" hidden="1">'Calcul chauffage'!#REF!</definedName>
    <definedName name="solver_lhs2" localSheetId="3" hidden="1">'Calcul refroidissement'!#REF!</definedName>
    <definedName name="solver_lhs3" localSheetId="2" hidden="1">'Calcul chauffage'!#REF!</definedName>
    <definedName name="solver_lhs3" localSheetId="3" hidden="1">'Calcul refroidissement'!#REF!</definedName>
    <definedName name="solver_lhs4" localSheetId="2" hidden="1">'Calcul chauffage'!#REF!</definedName>
    <definedName name="solver_lhs4" localSheetId="3" hidden="1">'Calcul refroidissement'!#REF!</definedName>
    <definedName name="solver_lhs5" localSheetId="2" hidden="1">'Calcul chauffage'!#REF!</definedName>
    <definedName name="solver_lhs5" localSheetId="3" hidden="1">'Calcul refroidissement'!#REF!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1</definedName>
    <definedName name="solver_num" localSheetId="3" hidden="1">1</definedName>
    <definedName name="solver_nwt" localSheetId="2" hidden="1">1</definedName>
    <definedName name="solver_nwt" localSheetId="3" hidden="1">1</definedName>
    <definedName name="solver_opt" localSheetId="2" hidden="1">'Calcul chauffage'!#REF!</definedName>
    <definedName name="solver_opt" localSheetId="3" hidden="1">'Calcul refroidissement'!#REF!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3</definedName>
    <definedName name="solver_rel1" localSheetId="3" hidden="1">3</definedName>
    <definedName name="solver_rel2" localSheetId="2" hidden="1">3</definedName>
    <definedName name="solver_rel2" localSheetId="3" hidden="1">3</definedName>
    <definedName name="solver_rel3" localSheetId="2" hidden="1">3</definedName>
    <definedName name="solver_rel3" localSheetId="3" hidden="1">3</definedName>
    <definedName name="solver_rel4" localSheetId="2" hidden="1">3</definedName>
    <definedName name="solver_rel4" localSheetId="3" hidden="1">3</definedName>
    <definedName name="solver_rel5" localSheetId="2" hidden="1">3</definedName>
    <definedName name="solver_rel5" localSheetId="3" hidden="1">3</definedName>
    <definedName name="solver_rhs1" localSheetId="2" hidden="1">0.1</definedName>
    <definedName name="solver_rhs1" localSheetId="3" hidden="1">0.1</definedName>
    <definedName name="solver_rhs2" localSheetId="2" hidden="1">0</definedName>
    <definedName name="solver_rhs2" localSheetId="3" hidden="1">0</definedName>
    <definedName name="solver_rhs3" localSheetId="2" hidden="1">0</definedName>
    <definedName name="solver_rhs3" localSheetId="3" hidden="1">0</definedName>
    <definedName name="solver_rhs4" localSheetId="2" hidden="1">0</definedName>
    <definedName name="solver_rhs4" localSheetId="3" hidden="1">0</definedName>
    <definedName name="solver_rhs5" localSheetId="2" hidden="1">0</definedName>
    <definedName name="solver_rhs5" localSheetId="3" hidden="1">0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  <definedName name="Statut_ch">'Mode chauffage'!$F$15</definedName>
    <definedName name="Statut_fr">'Mode refroidissement'!$F$15</definedName>
    <definedName name="Statuts_ch">Ressources!$B$3:$B$4</definedName>
    <definedName name="Statuts_fr">Ressources!$F$3:$F$4</definedName>
    <definedName name="Statuts_VS">Ressources!$B$7:$B$9</definedName>
    <definedName name="T_ref" localSheetId="3">'Calcul refroidissement'!$E$21</definedName>
    <definedName name="T_ref">'Calcul chauffage'!$E$23</definedName>
    <definedName name="Tevap">'Calcul refroidissement'!#REF!</definedName>
    <definedName name="Wrep" localSheetId="3">'Calcul refroidissement'!$E$17</definedName>
    <definedName name="Wrep">'Calcul chauffage'!$E$17</definedName>
    <definedName name="Wsouf" localSheetId="3">'Calcul refroidissement'!$E$16</definedName>
    <definedName name="Wsouf">'Calcul chauffage'!$E$16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6" l="1"/>
  <c r="E5" i="6"/>
  <c r="E9" i="10"/>
  <c r="E11" i="10"/>
  <c r="E4" i="10"/>
  <c r="E6" i="10"/>
  <c r="G25" i="9"/>
  <c r="D25" i="9"/>
  <c r="G25" i="7"/>
  <c r="E9" i="6"/>
  <c r="E11" i="6"/>
  <c r="D25" i="7"/>
  <c r="E19" i="6"/>
  <c r="N36" i="6"/>
  <c r="E15" i="6"/>
  <c r="G41" i="6"/>
  <c r="E15" i="10"/>
  <c r="F41" i="10" s="1"/>
  <c r="E14" i="10"/>
  <c r="G40" i="10" s="1"/>
  <c r="E13" i="10"/>
  <c r="G39" i="10" s="1"/>
  <c r="E12" i="10"/>
  <c r="E12" i="6"/>
  <c r="I38" i="6"/>
  <c r="E13" i="6"/>
  <c r="F39" i="6"/>
  <c r="E14" i="6"/>
  <c r="I40" i="6"/>
  <c r="E17" i="10"/>
  <c r="E16" i="10"/>
  <c r="F28" i="10"/>
  <c r="K28" i="10"/>
  <c r="D30" i="10"/>
  <c r="I30" i="10"/>
  <c r="F30" i="10"/>
  <c r="H44" i="10"/>
  <c r="K30" i="10"/>
  <c r="H45" i="10"/>
  <c r="T60" i="10"/>
  <c r="F54" i="10"/>
  <c r="Q54" i="10"/>
  <c r="G54" i="10"/>
  <c r="R54" i="10"/>
  <c r="H54" i="10"/>
  <c r="S54" i="10"/>
  <c r="I54" i="10"/>
  <c r="T54" i="10"/>
  <c r="J54" i="10"/>
  <c r="U54" i="10"/>
  <c r="C57" i="10"/>
  <c r="N57" i="10"/>
  <c r="C58" i="10"/>
  <c r="C71" i="10"/>
  <c r="N59" i="10"/>
  <c r="C60" i="10"/>
  <c r="C68" i="10"/>
  <c r="C61" i="10"/>
  <c r="N61" i="10"/>
  <c r="D68" i="10"/>
  <c r="D69" i="10"/>
  <c r="C70" i="10"/>
  <c r="D70" i="10"/>
  <c r="D71" i="10"/>
  <c r="D72" i="10"/>
  <c r="D73" i="10"/>
  <c r="D74" i="10"/>
  <c r="C75" i="10"/>
  <c r="C80" i="10"/>
  <c r="C85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O91" i="10"/>
  <c r="P91" i="10"/>
  <c r="Q91" i="10"/>
  <c r="R91" i="10"/>
  <c r="D95" i="10"/>
  <c r="M95" i="10"/>
  <c r="D97" i="10"/>
  <c r="M97" i="10"/>
  <c r="E16" i="6"/>
  <c r="I42" i="6"/>
  <c r="D60" i="6"/>
  <c r="E17" i="6"/>
  <c r="G43" i="6" s="1"/>
  <c r="H54" i="6" s="1"/>
  <c r="F30" i="6"/>
  <c r="F44" i="6"/>
  <c r="K30" i="6"/>
  <c r="F45" i="6"/>
  <c r="F31" i="6"/>
  <c r="G44" i="6"/>
  <c r="K31" i="6"/>
  <c r="G45" i="6"/>
  <c r="G46" i="6"/>
  <c r="F32" i="6"/>
  <c r="H44" i="6"/>
  <c r="K32" i="6"/>
  <c r="H45" i="6"/>
  <c r="T59" i="6"/>
  <c r="C56" i="6"/>
  <c r="N56" i="6"/>
  <c r="C57" i="6"/>
  <c r="N57" i="6"/>
  <c r="C58" i="6"/>
  <c r="N58" i="6"/>
  <c r="C59" i="6"/>
  <c r="N59" i="6"/>
  <c r="C60" i="6"/>
  <c r="N60" i="6"/>
  <c r="C67" i="6"/>
  <c r="C72" i="6"/>
  <c r="D67" i="6"/>
  <c r="C68" i="6"/>
  <c r="C73" i="6"/>
  <c r="D68" i="6"/>
  <c r="C69" i="6"/>
  <c r="D69" i="6"/>
  <c r="C70" i="6"/>
  <c r="D70" i="6"/>
  <c r="C71" i="6"/>
  <c r="C76" i="6"/>
  <c r="D71" i="6"/>
  <c r="D72" i="6"/>
  <c r="D73" i="6"/>
  <c r="C74" i="6"/>
  <c r="D74" i="6"/>
  <c r="C75" i="6"/>
  <c r="C80" i="6"/>
  <c r="C85" i="6"/>
  <c r="D75" i="6"/>
  <c r="D76" i="6"/>
  <c r="D77" i="6"/>
  <c r="D78" i="6"/>
  <c r="C79" i="6"/>
  <c r="C84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O94" i="6"/>
  <c r="P94" i="6"/>
  <c r="Q94" i="6"/>
  <c r="R94" i="6"/>
  <c r="S94" i="6"/>
  <c r="M96" i="6"/>
  <c r="M97" i="6"/>
  <c r="M98" i="6"/>
  <c r="M99" i="6"/>
  <c r="M100" i="6"/>
  <c r="K37" i="9"/>
  <c r="I39" i="9"/>
  <c r="F60" i="9"/>
  <c r="G60" i="9"/>
  <c r="H60" i="9"/>
  <c r="I60" i="9"/>
  <c r="D62" i="9"/>
  <c r="D63" i="9"/>
  <c r="D64" i="9"/>
  <c r="D65" i="9"/>
  <c r="D66" i="9"/>
  <c r="F66" i="7"/>
  <c r="G66" i="7"/>
  <c r="H66" i="7"/>
  <c r="I66" i="7"/>
  <c r="J66" i="7"/>
  <c r="D68" i="7"/>
  <c r="D69" i="7"/>
  <c r="D70" i="7"/>
  <c r="D71" i="7"/>
  <c r="D72" i="7"/>
  <c r="N58" i="10"/>
  <c r="C69" i="10"/>
  <c r="C74" i="10"/>
  <c r="C79" i="10"/>
  <c r="C84" i="10"/>
  <c r="D94" i="10"/>
  <c r="M94" i="10"/>
  <c r="D93" i="10"/>
  <c r="M93" i="10"/>
  <c r="C72" i="10"/>
  <c r="C77" i="10"/>
  <c r="D96" i="10"/>
  <c r="M96" i="10"/>
  <c r="G49" i="6"/>
  <c r="I41" i="6"/>
  <c r="E41" i="6"/>
  <c r="C89" i="6"/>
  <c r="C78" i="6"/>
  <c r="C81" i="6"/>
  <c r="C77" i="6"/>
  <c r="C82" i="10"/>
  <c r="C90" i="6"/>
  <c r="C73" i="10"/>
  <c r="C76" i="10"/>
  <c r="N60" i="10"/>
  <c r="C81" i="10"/>
  <c r="C87" i="10"/>
  <c r="C82" i="6"/>
  <c r="C86" i="6"/>
  <c r="C78" i="10"/>
  <c r="C83" i="6"/>
  <c r="C83" i="10"/>
  <c r="C91" i="6"/>
  <c r="C86" i="10"/>
  <c r="C88" i="6"/>
  <c r="C87" i="6"/>
  <c r="F41" i="6"/>
  <c r="H41" i="6"/>
  <c r="N41" i="6"/>
  <c r="N37" i="6"/>
  <c r="F46" i="6"/>
  <c r="F49" i="6"/>
  <c r="F48" i="6"/>
  <c r="G48" i="6"/>
  <c r="N39" i="6"/>
  <c r="H39" i="6"/>
  <c r="E39" i="6"/>
  <c r="I39" i="6"/>
  <c r="G39" i="6"/>
  <c r="H38" i="6"/>
  <c r="H42" i="6"/>
  <c r="D59" i="6"/>
  <c r="O59" i="6"/>
  <c r="W59" i="6"/>
  <c r="V59" i="6"/>
  <c r="N38" i="6"/>
  <c r="G38" i="6"/>
  <c r="F38" i="6"/>
  <c r="H38" i="10"/>
  <c r="H47" i="10" s="1"/>
  <c r="H48" i="10" s="1"/>
  <c r="H49" i="10" s="1"/>
  <c r="I60" i="10" s="1"/>
  <c r="H46" i="10"/>
  <c r="E5" i="10"/>
  <c r="E40" i="10"/>
  <c r="I40" i="10"/>
  <c r="E39" i="10"/>
  <c r="I39" i="10"/>
  <c r="G41" i="10"/>
  <c r="H46" i="6"/>
  <c r="E21" i="6"/>
  <c r="C53" i="7"/>
  <c r="F40" i="6"/>
  <c r="H40" i="6"/>
  <c r="H43" i="6"/>
  <c r="I54" i="6" s="1"/>
  <c r="G40" i="6"/>
  <c r="N40" i="6"/>
  <c r="E40" i="6"/>
  <c r="E43" i="6"/>
  <c r="F54" i="6" s="1"/>
  <c r="E38" i="6"/>
  <c r="E42" i="6"/>
  <c r="D56" i="6"/>
  <c r="H47" i="6"/>
  <c r="H48" i="6"/>
  <c r="H49" i="6"/>
  <c r="I59" i="6"/>
  <c r="F42" i="6"/>
  <c r="D57" i="6"/>
  <c r="E71" i="6"/>
  <c r="G42" i="6"/>
  <c r="D58" i="6"/>
  <c r="N42" i="6"/>
  <c r="O60" i="6"/>
  <c r="W60" i="6"/>
  <c r="V60" i="6"/>
  <c r="T60" i="6"/>
  <c r="L60" i="6"/>
  <c r="O56" i="6"/>
  <c r="W56" i="6"/>
  <c r="V56" i="6"/>
  <c r="E76" i="6"/>
  <c r="L56" i="6"/>
  <c r="L59" i="6"/>
  <c r="F89" i="6"/>
  <c r="F69" i="6"/>
  <c r="F88" i="6"/>
  <c r="F68" i="6"/>
  <c r="L58" i="6"/>
  <c r="K58" i="6"/>
  <c r="I58" i="6"/>
  <c r="E6" i="6"/>
  <c r="F47" i="6"/>
  <c r="C54" i="7"/>
  <c r="G47" i="6"/>
  <c r="I43" i="6"/>
  <c r="J54" i="6" s="1"/>
  <c r="F83" i="6"/>
  <c r="E79" i="6"/>
  <c r="E77" i="6"/>
  <c r="O58" i="6"/>
  <c r="W58" i="6"/>
  <c r="V58" i="6"/>
  <c r="T58" i="6"/>
  <c r="F78" i="6"/>
  <c r="E84" i="6"/>
  <c r="E82" i="6"/>
  <c r="F67" i="6"/>
  <c r="E69" i="6"/>
  <c r="F80" i="6"/>
  <c r="F76" i="6"/>
  <c r="F86" i="6"/>
  <c r="F79" i="6"/>
  <c r="F75" i="6"/>
  <c r="E67" i="6"/>
  <c r="F91" i="6"/>
  <c r="L57" i="6"/>
  <c r="K57" i="6"/>
  <c r="E83" i="6"/>
  <c r="O57" i="6"/>
  <c r="W57" i="6"/>
  <c r="V57" i="6"/>
  <c r="T57" i="6"/>
  <c r="E72" i="6"/>
  <c r="E90" i="6"/>
  <c r="E88" i="6"/>
  <c r="F71" i="6"/>
  <c r="F84" i="6"/>
  <c r="E78" i="6"/>
  <c r="E89" i="6"/>
  <c r="Q89" i="6"/>
  <c r="F70" i="6"/>
  <c r="E74" i="6"/>
  <c r="E80" i="6"/>
  <c r="F85" i="6"/>
  <c r="F77" i="6"/>
  <c r="E70" i="6"/>
  <c r="E87" i="6"/>
  <c r="E91" i="6"/>
  <c r="Q91" i="6"/>
  <c r="E86" i="6"/>
  <c r="E73" i="6"/>
  <c r="F73" i="6"/>
  <c r="F81" i="6"/>
  <c r="Q81" i="6"/>
  <c r="F74" i="6"/>
  <c r="E81" i="6"/>
  <c r="F90" i="6"/>
  <c r="E68" i="6"/>
  <c r="F87" i="6"/>
  <c r="F72" i="6"/>
  <c r="F82" i="6"/>
  <c r="Q82" i="6"/>
  <c r="E85" i="6"/>
  <c r="E75" i="6"/>
  <c r="Q75" i="6"/>
  <c r="Q70" i="6"/>
  <c r="Q87" i="6"/>
  <c r="Q76" i="6"/>
  <c r="Q69" i="6"/>
  <c r="T56" i="6"/>
  <c r="Q72" i="6"/>
  <c r="Q80" i="6"/>
  <c r="Q77" i="6"/>
  <c r="Q78" i="6"/>
  <c r="Q74" i="6"/>
  <c r="Q68" i="6"/>
  <c r="Q85" i="6"/>
  <c r="Q86" i="6"/>
  <c r="Q84" i="6"/>
  <c r="Q71" i="6"/>
  <c r="K60" i="6"/>
  <c r="I60" i="6"/>
  <c r="Q79" i="6"/>
  <c r="K59" i="6"/>
  <c r="Q83" i="6"/>
  <c r="Q73" i="6"/>
  <c r="Q90" i="6"/>
  <c r="Q88" i="6"/>
  <c r="K56" i="6"/>
  <c r="Q67" i="6"/>
  <c r="I57" i="6"/>
  <c r="I56" i="6"/>
  <c r="T54" i="6" l="1"/>
  <c r="T62" i="6" s="1"/>
  <c r="T61" i="6" s="1"/>
  <c r="I62" i="6"/>
  <c r="I61" i="6" s="1"/>
  <c r="S54" i="6"/>
  <c r="S62" i="6" s="1"/>
  <c r="S61" i="6" s="1"/>
  <c r="H62" i="6"/>
  <c r="H61" i="6" s="1"/>
  <c r="J62" i="6"/>
  <c r="J61" i="6" s="1"/>
  <c r="U54" i="6"/>
  <c r="U62" i="6" s="1"/>
  <c r="U61" i="6" s="1"/>
  <c r="F62" i="6"/>
  <c r="F61" i="6" s="1"/>
  <c r="Q54" i="6"/>
  <c r="Q62" i="6" s="1"/>
  <c r="Q61" i="6" s="1"/>
  <c r="N43" i="6"/>
  <c r="E102" i="6" s="1"/>
  <c r="E76" i="7" s="1"/>
  <c r="F43" i="6"/>
  <c r="G54" i="6" s="1"/>
  <c r="E41" i="10"/>
  <c r="E43" i="10" s="1"/>
  <c r="F55" i="10" s="1"/>
  <c r="I41" i="10"/>
  <c r="H41" i="10"/>
  <c r="H39" i="10"/>
  <c r="H42" i="10" s="1"/>
  <c r="D60" i="10" s="1"/>
  <c r="G43" i="10"/>
  <c r="H55" i="10" s="1"/>
  <c r="I43" i="10"/>
  <c r="J55" i="10" s="1"/>
  <c r="E38" i="10"/>
  <c r="E42" i="10" s="1"/>
  <c r="D57" i="10" s="1"/>
  <c r="I38" i="10"/>
  <c r="I42" i="10" s="1"/>
  <c r="D61" i="10" s="1"/>
  <c r="E19" i="10"/>
  <c r="F38" i="10"/>
  <c r="G38" i="10"/>
  <c r="G42" i="10" s="1"/>
  <c r="D59" i="10" s="1"/>
  <c r="H40" i="10"/>
  <c r="H43" i="10" s="1"/>
  <c r="I55" i="10" s="1"/>
  <c r="F40" i="10"/>
  <c r="F43" i="10" s="1"/>
  <c r="G55" i="10" s="1"/>
  <c r="F39" i="10"/>
  <c r="H81" i="6" l="1"/>
  <c r="G80" i="6"/>
  <c r="G67" i="6"/>
  <c r="H67" i="6"/>
  <c r="H69" i="6"/>
  <c r="G82" i="6"/>
  <c r="G83" i="6"/>
  <c r="G89" i="6"/>
  <c r="H72" i="6"/>
  <c r="H79" i="6"/>
  <c r="G70" i="6"/>
  <c r="H83" i="6"/>
  <c r="G73" i="6"/>
  <c r="H89" i="6"/>
  <c r="H90" i="6"/>
  <c r="G86" i="6"/>
  <c r="R54" i="6"/>
  <c r="R62" i="6" s="1"/>
  <c r="R61" i="6" s="1"/>
  <c r="H73" i="6"/>
  <c r="G74" i="6"/>
  <c r="H75" i="6"/>
  <c r="G85" i="6"/>
  <c r="H85" i="6"/>
  <c r="H74" i="6"/>
  <c r="G69" i="6"/>
  <c r="H80" i="6"/>
  <c r="H68" i="6"/>
  <c r="H87" i="6"/>
  <c r="H88" i="6"/>
  <c r="G75" i="6"/>
  <c r="H71" i="6"/>
  <c r="G90" i="6"/>
  <c r="H91" i="6"/>
  <c r="G91" i="6"/>
  <c r="G84" i="6"/>
  <c r="G72" i="6"/>
  <c r="G76" i="6"/>
  <c r="G87" i="6"/>
  <c r="H84" i="6"/>
  <c r="G88" i="6"/>
  <c r="G62" i="6"/>
  <c r="G61" i="6" s="1"/>
  <c r="G68" i="6"/>
  <c r="G71" i="6"/>
  <c r="G77" i="6"/>
  <c r="H77" i="6"/>
  <c r="H82" i="6"/>
  <c r="H70" i="6"/>
  <c r="G78" i="6"/>
  <c r="H76" i="6"/>
  <c r="G79" i="6"/>
  <c r="G81" i="6"/>
  <c r="H78" i="6"/>
  <c r="H86" i="6"/>
  <c r="Q59" i="6"/>
  <c r="Q60" i="6"/>
  <c r="F59" i="6"/>
  <c r="F60" i="6"/>
  <c r="U57" i="6"/>
  <c r="U59" i="6"/>
  <c r="U56" i="6"/>
  <c r="U60" i="6"/>
  <c r="U58" i="6"/>
  <c r="J60" i="6"/>
  <c r="J56" i="6"/>
  <c r="J59" i="6"/>
  <c r="J57" i="6"/>
  <c r="J58" i="6"/>
  <c r="H58" i="6"/>
  <c r="H59" i="6"/>
  <c r="H60" i="6"/>
  <c r="S60" i="6"/>
  <c r="S58" i="6"/>
  <c r="S59" i="6"/>
  <c r="F63" i="10"/>
  <c r="Q55" i="10"/>
  <c r="Q63" i="10" s="1"/>
  <c r="O60" i="10"/>
  <c r="W60" i="10" s="1"/>
  <c r="V60" i="10" s="1"/>
  <c r="L60" i="10"/>
  <c r="K60" i="10" s="1"/>
  <c r="H63" i="10"/>
  <c r="S55" i="10"/>
  <c r="S63" i="10" s="1"/>
  <c r="F42" i="10"/>
  <c r="D58" i="10" s="1"/>
  <c r="L59" i="10"/>
  <c r="K59" i="10" s="1"/>
  <c r="I59" i="10" s="1"/>
  <c r="O59" i="10"/>
  <c r="W59" i="10" s="1"/>
  <c r="C48" i="9"/>
  <c r="C47" i="9"/>
  <c r="L61" i="10"/>
  <c r="K61" i="10" s="1"/>
  <c r="I61" i="10" s="1"/>
  <c r="O61" i="10"/>
  <c r="W61" i="10" s="1"/>
  <c r="V61" i="10" s="1"/>
  <c r="T61" i="10" s="1"/>
  <c r="H87" i="10"/>
  <c r="G68" i="10"/>
  <c r="R68" i="10" s="1"/>
  <c r="H81" i="10"/>
  <c r="G85" i="10"/>
  <c r="G80" i="10"/>
  <c r="H71" i="10"/>
  <c r="G84" i="10"/>
  <c r="G75" i="10"/>
  <c r="G74" i="10"/>
  <c r="R74" i="10" s="1"/>
  <c r="H84" i="10"/>
  <c r="H70" i="10"/>
  <c r="G77" i="10"/>
  <c r="G78" i="10"/>
  <c r="G63" i="10"/>
  <c r="G83" i="10"/>
  <c r="H78" i="10"/>
  <c r="R55" i="10"/>
  <c r="R63" i="10" s="1"/>
  <c r="R62" i="10" s="1"/>
  <c r="H74" i="10"/>
  <c r="H68" i="10"/>
  <c r="H73" i="10"/>
  <c r="H79" i="10"/>
  <c r="G71" i="10"/>
  <c r="R71" i="10" s="1"/>
  <c r="H86" i="10"/>
  <c r="G73" i="10"/>
  <c r="R73" i="10" s="1"/>
  <c r="G81" i="10"/>
  <c r="R81" i="10" s="1"/>
  <c r="H82" i="10"/>
  <c r="G79" i="10"/>
  <c r="G70" i="10"/>
  <c r="H83" i="10"/>
  <c r="G69" i="10"/>
  <c r="H76" i="10"/>
  <c r="H72" i="10"/>
  <c r="H69" i="10"/>
  <c r="G87" i="10"/>
  <c r="G86" i="10"/>
  <c r="G82" i="10"/>
  <c r="G72" i="10"/>
  <c r="H85" i="10"/>
  <c r="G76" i="10"/>
  <c r="R76" i="10" s="1"/>
  <c r="H75" i="10"/>
  <c r="H80" i="10"/>
  <c r="H77" i="10"/>
  <c r="L57" i="10"/>
  <c r="K57" i="10" s="1"/>
  <c r="I57" i="10" s="1"/>
  <c r="O57" i="10"/>
  <c r="W57" i="10" s="1"/>
  <c r="V57" i="10" s="1"/>
  <c r="T57" i="10" s="1"/>
  <c r="O58" i="10"/>
  <c r="W58" i="10" s="1"/>
  <c r="V58" i="10" s="1"/>
  <c r="T58" i="10" s="1"/>
  <c r="F86" i="10"/>
  <c r="E76" i="10"/>
  <c r="E81" i="10"/>
  <c r="F87" i="10"/>
  <c r="E70" i="10"/>
  <c r="F81" i="10"/>
  <c r="E72" i="10"/>
  <c r="F77" i="10"/>
  <c r="E84" i="10"/>
  <c r="F73" i="10"/>
  <c r="F83" i="10"/>
  <c r="E80" i="10"/>
  <c r="E85" i="10"/>
  <c r="E68" i="10"/>
  <c r="F85" i="10"/>
  <c r="E71" i="10"/>
  <c r="E74" i="10"/>
  <c r="F69" i="10"/>
  <c r="E79" i="10"/>
  <c r="F70" i="10"/>
  <c r="E82" i="10"/>
  <c r="L58" i="10"/>
  <c r="K58" i="10" s="1"/>
  <c r="I58" i="10" s="1"/>
  <c r="E86" i="10"/>
  <c r="E69" i="10"/>
  <c r="F82" i="10"/>
  <c r="F78" i="10"/>
  <c r="E73" i="10"/>
  <c r="E77" i="10"/>
  <c r="F72" i="10"/>
  <c r="E78" i="10"/>
  <c r="E83" i="10"/>
  <c r="F84" i="10"/>
  <c r="F74" i="10"/>
  <c r="F76" i="10"/>
  <c r="F71" i="10"/>
  <c r="F79" i="10"/>
  <c r="F75" i="10"/>
  <c r="E75" i="10"/>
  <c r="E87" i="10"/>
  <c r="F68" i="10"/>
  <c r="F80" i="10"/>
  <c r="T55" i="10"/>
  <c r="T63" i="10" s="1"/>
  <c r="I63" i="10"/>
  <c r="J63" i="10"/>
  <c r="J62" i="10" s="1"/>
  <c r="J60" i="10" s="1"/>
  <c r="U55" i="10"/>
  <c r="U63" i="10" s="1"/>
  <c r="I78" i="6" l="1"/>
  <c r="M78" i="6"/>
  <c r="O78" i="6"/>
  <c r="R78" i="6"/>
  <c r="K78" i="6"/>
  <c r="G60" i="6"/>
  <c r="K82" i="6" s="1"/>
  <c r="G59" i="6"/>
  <c r="I82" i="6" s="1"/>
  <c r="L91" i="6"/>
  <c r="P91" i="6"/>
  <c r="N91" i="6"/>
  <c r="J91" i="6"/>
  <c r="R69" i="6"/>
  <c r="R86" i="6"/>
  <c r="K89" i="6"/>
  <c r="M89" i="6"/>
  <c r="O89" i="6"/>
  <c r="R89" i="6"/>
  <c r="I89" i="6"/>
  <c r="L90" i="6"/>
  <c r="N90" i="6"/>
  <c r="P90" i="6"/>
  <c r="J90" i="6"/>
  <c r="R82" i="6"/>
  <c r="J82" i="6"/>
  <c r="L82" i="6"/>
  <c r="N82" i="6"/>
  <c r="P82" i="6"/>
  <c r="I87" i="6"/>
  <c r="K87" i="6"/>
  <c r="M87" i="6"/>
  <c r="O87" i="6"/>
  <c r="R87" i="6"/>
  <c r="R75" i="6"/>
  <c r="R85" i="6"/>
  <c r="K73" i="6"/>
  <c r="R73" i="6"/>
  <c r="I73" i="6"/>
  <c r="O73" i="6"/>
  <c r="M73" i="6"/>
  <c r="J89" i="6"/>
  <c r="N89" i="6"/>
  <c r="L89" i="6"/>
  <c r="P89" i="6"/>
  <c r="R76" i="6"/>
  <c r="P88" i="6"/>
  <c r="J88" i="6"/>
  <c r="L88" i="6"/>
  <c r="N88" i="6"/>
  <c r="L83" i="6"/>
  <c r="N83" i="6"/>
  <c r="J83" i="6"/>
  <c r="P83" i="6"/>
  <c r="M90" i="6"/>
  <c r="K90" i="6"/>
  <c r="R90" i="6"/>
  <c r="O90" i="6"/>
  <c r="I90" i="6"/>
  <c r="F58" i="6"/>
  <c r="K79" i="6" s="1"/>
  <c r="H57" i="6"/>
  <c r="G57" i="6" s="1"/>
  <c r="L75" i="6" s="1"/>
  <c r="G58" i="6"/>
  <c r="K69" i="6" s="1"/>
  <c r="H56" i="6"/>
  <c r="J86" i="6" s="1"/>
  <c r="I77" i="6"/>
  <c r="R77" i="6"/>
  <c r="K77" i="6"/>
  <c r="O77" i="6"/>
  <c r="M77" i="6"/>
  <c r="O72" i="6"/>
  <c r="I72" i="6"/>
  <c r="R72" i="6"/>
  <c r="M72" i="6"/>
  <c r="K72" i="6"/>
  <c r="L87" i="6"/>
  <c r="N87" i="6"/>
  <c r="J87" i="6"/>
  <c r="P87" i="6"/>
  <c r="R74" i="6"/>
  <c r="K74" i="6"/>
  <c r="R70" i="6"/>
  <c r="O67" i="6"/>
  <c r="K67" i="6"/>
  <c r="I67" i="6"/>
  <c r="R67" i="6"/>
  <c r="R88" i="6"/>
  <c r="O88" i="6"/>
  <c r="K88" i="6"/>
  <c r="M88" i="6"/>
  <c r="I88" i="6"/>
  <c r="R81" i="6"/>
  <c r="R71" i="6"/>
  <c r="R84" i="6"/>
  <c r="L73" i="6"/>
  <c r="R80" i="6"/>
  <c r="S57" i="6"/>
  <c r="R58" i="6"/>
  <c r="O84" i="6" s="1"/>
  <c r="Q58" i="6"/>
  <c r="O79" i="6" s="1"/>
  <c r="S56" i="6"/>
  <c r="N86" i="6" s="1"/>
  <c r="R83" i="6"/>
  <c r="L84" i="6"/>
  <c r="P84" i="6"/>
  <c r="R79" i="6"/>
  <c r="O68" i="6"/>
  <c r="K68" i="6"/>
  <c r="R68" i="6"/>
  <c r="I68" i="6"/>
  <c r="O91" i="6"/>
  <c r="I91" i="6"/>
  <c r="K91" i="6"/>
  <c r="R91" i="6"/>
  <c r="M91" i="6"/>
  <c r="R60" i="6"/>
  <c r="P77" i="6" s="1"/>
  <c r="R59" i="6"/>
  <c r="N73" i="6" s="1"/>
  <c r="R70" i="10"/>
  <c r="V59" i="10"/>
  <c r="T59" i="10" s="1"/>
  <c r="L70" i="10"/>
  <c r="P70" i="10"/>
  <c r="Q79" i="10"/>
  <c r="J79" i="10"/>
  <c r="N79" i="10"/>
  <c r="O84" i="10"/>
  <c r="K84" i="10"/>
  <c r="R72" i="10"/>
  <c r="R78" i="10"/>
  <c r="U62" i="10"/>
  <c r="U60" i="10" s="1"/>
  <c r="P72" i="10"/>
  <c r="L72" i="10"/>
  <c r="J82" i="10"/>
  <c r="N82" i="10"/>
  <c r="Q82" i="10"/>
  <c r="M85" i="10"/>
  <c r="Q85" i="10"/>
  <c r="I85" i="10"/>
  <c r="Q70" i="10"/>
  <c r="J70" i="10"/>
  <c r="N70" i="10"/>
  <c r="R87" i="10"/>
  <c r="Q77" i="10"/>
  <c r="N80" i="10"/>
  <c r="Q80" i="10"/>
  <c r="J80" i="10"/>
  <c r="R60" i="10"/>
  <c r="I62" i="10"/>
  <c r="F62" i="10"/>
  <c r="F60" i="10" s="1"/>
  <c r="H62" i="10"/>
  <c r="H60" i="10" s="1"/>
  <c r="I79" i="10" s="1"/>
  <c r="O83" i="10"/>
  <c r="K83" i="10"/>
  <c r="R75" i="10"/>
  <c r="T62" i="10"/>
  <c r="S62" i="10"/>
  <c r="S60" i="10" s="1"/>
  <c r="N73" i="10" s="1"/>
  <c r="Q62" i="10"/>
  <c r="Q60" i="10" s="1"/>
  <c r="P78" i="10"/>
  <c r="L78" i="10"/>
  <c r="K69" i="10"/>
  <c r="L69" i="10"/>
  <c r="P69" i="10"/>
  <c r="Q76" i="10"/>
  <c r="R83" i="10"/>
  <c r="R84" i="10"/>
  <c r="H61" i="10"/>
  <c r="K78" i="10" s="1"/>
  <c r="G61" i="10"/>
  <c r="K73" i="10" s="1"/>
  <c r="J61" i="10"/>
  <c r="L84" i="10" s="1"/>
  <c r="O87" i="10"/>
  <c r="K87" i="10"/>
  <c r="M73" i="10"/>
  <c r="Q73" i="10"/>
  <c r="J73" i="10"/>
  <c r="U61" i="10"/>
  <c r="P83" i="10" s="1"/>
  <c r="R61" i="10"/>
  <c r="O73" i="10" s="1"/>
  <c r="Q61" i="10"/>
  <c r="L80" i="10"/>
  <c r="P80" i="10"/>
  <c r="L82" i="10"/>
  <c r="P82" i="10"/>
  <c r="Q74" i="10"/>
  <c r="M74" i="10"/>
  <c r="J74" i="10"/>
  <c r="Q84" i="10"/>
  <c r="N84" i="10"/>
  <c r="M84" i="10"/>
  <c r="I84" i="10"/>
  <c r="J84" i="10"/>
  <c r="O86" i="10"/>
  <c r="K86" i="10"/>
  <c r="R69" i="10"/>
  <c r="G62" i="10"/>
  <c r="G60" i="10" s="1"/>
  <c r="I73" i="10" s="1"/>
  <c r="U58" i="10"/>
  <c r="P85" i="10" s="1"/>
  <c r="L71" i="10"/>
  <c r="P71" i="10"/>
  <c r="J81" i="10"/>
  <c r="N81" i="10"/>
  <c r="Q81" i="10"/>
  <c r="K68" i="10"/>
  <c r="L68" i="10"/>
  <c r="P68" i="10"/>
  <c r="I69" i="10"/>
  <c r="N69" i="10"/>
  <c r="Q69" i="10"/>
  <c r="J69" i="10"/>
  <c r="I87" i="10"/>
  <c r="M87" i="10"/>
  <c r="Q87" i="10"/>
  <c r="I83" i="10"/>
  <c r="Q83" i="10"/>
  <c r="M83" i="10"/>
  <c r="N83" i="10"/>
  <c r="J83" i="10"/>
  <c r="I86" i="10"/>
  <c r="Q86" i="10"/>
  <c r="M86" i="10"/>
  <c r="N86" i="10"/>
  <c r="O85" i="10"/>
  <c r="L85" i="10"/>
  <c r="K85" i="10"/>
  <c r="Q72" i="10"/>
  <c r="J72" i="10"/>
  <c r="N72" i="10"/>
  <c r="U57" i="10"/>
  <c r="N87" i="10" s="1"/>
  <c r="R82" i="10"/>
  <c r="R77" i="10"/>
  <c r="R85" i="10"/>
  <c r="U59" i="10"/>
  <c r="L79" i="10"/>
  <c r="P79" i="10"/>
  <c r="K79" i="10"/>
  <c r="Q71" i="10"/>
  <c r="J71" i="10"/>
  <c r="N71" i="10"/>
  <c r="R80" i="10"/>
  <c r="Q75" i="10"/>
  <c r="J78" i="10"/>
  <c r="N78" i="10"/>
  <c r="Q78" i="10"/>
  <c r="I78" i="10"/>
  <c r="M78" i="10"/>
  <c r="J58" i="10"/>
  <c r="L87" i="10" s="1"/>
  <c r="H58" i="10"/>
  <c r="G58" i="10" s="1"/>
  <c r="K75" i="10" s="1"/>
  <c r="Q68" i="10"/>
  <c r="J68" i="10"/>
  <c r="I68" i="10"/>
  <c r="N68" i="10"/>
  <c r="P81" i="10"/>
  <c r="L81" i="10"/>
  <c r="H57" i="10"/>
  <c r="G57" i="10" s="1"/>
  <c r="I75" i="10" s="1"/>
  <c r="J57" i="10"/>
  <c r="J86" i="10" s="1"/>
  <c r="R86" i="10"/>
  <c r="R79" i="10"/>
  <c r="H59" i="10"/>
  <c r="J59" i="10"/>
  <c r="P68" i="6" l="1"/>
  <c r="L67" i="6"/>
  <c r="L74" i="6"/>
  <c r="N67" i="6"/>
  <c r="P67" i="6"/>
  <c r="J68" i="6"/>
  <c r="J67" i="6"/>
  <c r="S67" i="6" s="1"/>
  <c r="H99" i="6" s="1"/>
  <c r="H62" i="7" s="1"/>
  <c r="P69" i="6"/>
  <c r="N68" i="6"/>
  <c r="L69" i="6"/>
  <c r="P73" i="6"/>
  <c r="J72" i="6"/>
  <c r="L68" i="6"/>
  <c r="J78" i="6"/>
  <c r="S78" i="6" s="1"/>
  <c r="F100" i="6" s="1"/>
  <c r="F63" i="7" s="1"/>
  <c r="J77" i="6"/>
  <c r="S77" i="6" s="1"/>
  <c r="F99" i="6" s="1"/>
  <c r="F62" i="7" s="1"/>
  <c r="M82" i="6"/>
  <c r="L72" i="6"/>
  <c r="K83" i="6"/>
  <c r="L79" i="6"/>
  <c r="K84" i="6"/>
  <c r="L78" i="6"/>
  <c r="L77" i="6"/>
  <c r="P72" i="6"/>
  <c r="I83" i="6"/>
  <c r="J73" i="6"/>
  <c r="J74" i="6"/>
  <c r="S91" i="6"/>
  <c r="J96" i="6" s="1"/>
  <c r="J59" i="7" s="1"/>
  <c r="T91" i="6"/>
  <c r="S96" i="6" s="1"/>
  <c r="J68" i="7" s="1"/>
  <c r="L80" i="6"/>
  <c r="M68" i="6"/>
  <c r="T68" i="6" s="1"/>
  <c r="Q100" i="6" s="1"/>
  <c r="H72" i="7" s="1"/>
  <c r="J84" i="6"/>
  <c r="O83" i="6"/>
  <c r="I84" i="6"/>
  <c r="L71" i="6"/>
  <c r="M67" i="6"/>
  <c r="T67" i="6" s="1"/>
  <c r="Q99" i="6" s="1"/>
  <c r="H71" i="7" s="1"/>
  <c r="O74" i="6"/>
  <c r="P86" i="6"/>
  <c r="J69" i="6"/>
  <c r="T87" i="6"/>
  <c r="S99" i="6" s="1"/>
  <c r="J71" i="7" s="1"/>
  <c r="S87" i="6"/>
  <c r="J99" i="6" s="1"/>
  <c r="J62" i="7" s="1"/>
  <c r="O69" i="6"/>
  <c r="L76" i="6"/>
  <c r="P74" i="6"/>
  <c r="K85" i="6"/>
  <c r="R57" i="6"/>
  <c r="N69" i="6" s="1"/>
  <c r="N84" i="6"/>
  <c r="P79" i="6"/>
  <c r="S72" i="6"/>
  <c r="G99" i="6" s="1"/>
  <c r="G62" i="7" s="1"/>
  <c r="P78" i="6"/>
  <c r="J85" i="6"/>
  <c r="O82" i="6"/>
  <c r="T82" i="6" s="1"/>
  <c r="R99" i="6" s="1"/>
  <c r="I71" i="7" s="1"/>
  <c r="S89" i="6"/>
  <c r="J98" i="6" s="1"/>
  <c r="J61" i="7" s="1"/>
  <c r="T89" i="6"/>
  <c r="S98" i="6" s="1"/>
  <c r="J70" i="7" s="1"/>
  <c r="L70" i="6"/>
  <c r="N85" i="6"/>
  <c r="T73" i="6"/>
  <c r="P100" i="6" s="1"/>
  <c r="G72" i="7" s="1"/>
  <c r="S73" i="6"/>
  <c r="G100" i="6" s="1"/>
  <c r="G63" i="7" s="1"/>
  <c r="I69" i="6"/>
  <c r="S69" i="6" s="1"/>
  <c r="H98" i="6" s="1"/>
  <c r="H61" i="7" s="1"/>
  <c r="J70" i="6"/>
  <c r="T90" i="6"/>
  <c r="S97" i="6" s="1"/>
  <c r="J69" i="7" s="1"/>
  <c r="S90" i="6"/>
  <c r="J97" i="6" s="1"/>
  <c r="J60" i="7" s="1"/>
  <c r="L81" i="6"/>
  <c r="N77" i="6"/>
  <c r="T77" i="6" s="1"/>
  <c r="O99" i="6" s="1"/>
  <c r="F71" i="7" s="1"/>
  <c r="M83" i="6"/>
  <c r="T83" i="6" s="1"/>
  <c r="R100" i="6" s="1"/>
  <c r="I72" i="7" s="1"/>
  <c r="J79" i="6"/>
  <c r="S88" i="6"/>
  <c r="J100" i="6" s="1"/>
  <c r="J63" i="7" s="1"/>
  <c r="T88" i="6"/>
  <c r="S100" i="6" s="1"/>
  <c r="J72" i="7" s="1"/>
  <c r="N78" i="6"/>
  <c r="T78" i="6" s="1"/>
  <c r="O100" i="6" s="1"/>
  <c r="F72" i="7" s="1"/>
  <c r="L85" i="6"/>
  <c r="S82" i="6"/>
  <c r="I99" i="6" s="1"/>
  <c r="I62" i="7" s="1"/>
  <c r="N72" i="6"/>
  <c r="T72" i="6" s="1"/>
  <c r="P99" i="6" s="1"/>
  <c r="G71" i="7" s="1"/>
  <c r="P71" i="6"/>
  <c r="P85" i="6"/>
  <c r="L86" i="6"/>
  <c r="G56" i="6"/>
  <c r="J71" i="6" s="1"/>
  <c r="F57" i="6"/>
  <c r="K71" i="6" s="1"/>
  <c r="K86" i="6"/>
  <c r="S68" i="6"/>
  <c r="H100" i="6" s="1"/>
  <c r="H63" i="7" s="1"/>
  <c r="S83" i="6"/>
  <c r="I100" i="6" s="1"/>
  <c r="I63" i="7" s="1"/>
  <c r="L86" i="10"/>
  <c r="N85" i="10"/>
  <c r="T85" i="10" s="1"/>
  <c r="R95" i="10" s="1"/>
  <c r="I64" i="9" s="1"/>
  <c r="I80" i="10"/>
  <c r="J85" i="10"/>
  <c r="L83" i="10"/>
  <c r="K74" i="10"/>
  <c r="J75" i="10"/>
  <c r="L74" i="10"/>
  <c r="L77" i="10"/>
  <c r="J76" i="10"/>
  <c r="S59" i="10"/>
  <c r="K71" i="10"/>
  <c r="N74" i="10"/>
  <c r="K81" i="10"/>
  <c r="I71" i="10"/>
  <c r="S71" i="10" s="1"/>
  <c r="G94" i="10" s="1"/>
  <c r="G54" i="9" s="1"/>
  <c r="S86" i="10"/>
  <c r="I94" i="10" s="1"/>
  <c r="I54" i="9" s="1"/>
  <c r="J87" i="10"/>
  <c r="S87" i="10" s="1"/>
  <c r="I93" i="10" s="1"/>
  <c r="I53" i="9" s="1"/>
  <c r="M69" i="10"/>
  <c r="P86" i="10"/>
  <c r="T86" i="10" s="1"/>
  <c r="R94" i="10" s="1"/>
  <c r="I63" i="9" s="1"/>
  <c r="L73" i="10"/>
  <c r="S73" i="10" s="1"/>
  <c r="F96" i="10" s="1"/>
  <c r="F56" i="9" s="1"/>
  <c r="S85" i="10"/>
  <c r="I95" i="10" s="1"/>
  <c r="I55" i="9" s="1"/>
  <c r="S57" i="10"/>
  <c r="R57" i="10" s="1"/>
  <c r="S69" i="10"/>
  <c r="G97" i="10" s="1"/>
  <c r="G57" i="9" s="1"/>
  <c r="S61" i="10"/>
  <c r="K72" i="10"/>
  <c r="S78" i="10"/>
  <c r="H96" i="10" s="1"/>
  <c r="H56" i="9" s="1"/>
  <c r="I81" i="10"/>
  <c r="S81" i="10" s="1"/>
  <c r="H94" i="10" s="1"/>
  <c r="H54" i="9" s="1"/>
  <c r="S58" i="10"/>
  <c r="I74" i="10"/>
  <c r="S74" i="10" s="1"/>
  <c r="F97" i="10" s="1"/>
  <c r="F57" i="9" s="1"/>
  <c r="O74" i="10"/>
  <c r="P87" i="10"/>
  <c r="T87" i="10" s="1"/>
  <c r="R93" i="10" s="1"/>
  <c r="I62" i="9" s="1"/>
  <c r="J77" i="10"/>
  <c r="I70" i="10"/>
  <c r="M79" i="10"/>
  <c r="G59" i="10"/>
  <c r="F59" i="10"/>
  <c r="M68" i="10"/>
  <c r="K77" i="10"/>
  <c r="K82" i="10"/>
  <c r="K76" i="10"/>
  <c r="R58" i="10"/>
  <c r="P84" i="10"/>
  <c r="T84" i="10" s="1"/>
  <c r="R97" i="10" s="1"/>
  <c r="I66" i="9" s="1"/>
  <c r="S79" i="10"/>
  <c r="H97" i="10" s="1"/>
  <c r="H57" i="9" s="1"/>
  <c r="F57" i="10"/>
  <c r="I72" i="10"/>
  <c r="S72" i="10" s="1"/>
  <c r="G93" i="10" s="1"/>
  <c r="G53" i="9" s="1"/>
  <c r="S83" i="10"/>
  <c r="I96" i="10" s="1"/>
  <c r="I56" i="9" s="1"/>
  <c r="T83" i="10"/>
  <c r="R96" i="10" s="1"/>
  <c r="I65" i="9" s="1"/>
  <c r="I76" i="10"/>
  <c r="L76" i="10"/>
  <c r="I77" i="10"/>
  <c r="S77" i="10" s="1"/>
  <c r="F93" i="10" s="1"/>
  <c r="F53" i="9" s="1"/>
  <c r="I82" i="10"/>
  <c r="S82" i="10" s="1"/>
  <c r="H93" i="10" s="1"/>
  <c r="H53" i="9" s="1"/>
  <c r="S84" i="10"/>
  <c r="I97" i="10" s="1"/>
  <c r="I57" i="9" s="1"/>
  <c r="L75" i="10"/>
  <c r="S75" i="10" s="1"/>
  <c r="F95" i="10" s="1"/>
  <c r="F55" i="9" s="1"/>
  <c r="K70" i="10"/>
  <c r="S70" i="10" s="1"/>
  <c r="G95" i="10" s="1"/>
  <c r="G55" i="9" s="1"/>
  <c r="S68" i="10"/>
  <c r="G96" i="10" s="1"/>
  <c r="G56" i="9" s="1"/>
  <c r="F58" i="10"/>
  <c r="K80" i="10"/>
  <c r="S80" i="10" s="1"/>
  <c r="H95" i="10" s="1"/>
  <c r="H55" i="9" s="1"/>
  <c r="F61" i="10"/>
  <c r="P70" i="6" l="1"/>
  <c r="K70" i="6"/>
  <c r="S84" i="6"/>
  <c r="I98" i="6" s="1"/>
  <c r="I61" i="7" s="1"/>
  <c r="F56" i="6"/>
  <c r="J76" i="6"/>
  <c r="J80" i="6"/>
  <c r="I85" i="6"/>
  <c r="S85" i="6" s="1"/>
  <c r="I97" i="6" s="1"/>
  <c r="I60" i="7" s="1"/>
  <c r="J75" i="6"/>
  <c r="I71" i="6"/>
  <c r="S71" i="6" s="1"/>
  <c r="H96" i="6" s="1"/>
  <c r="H59" i="7" s="1"/>
  <c r="I70" i="6"/>
  <c r="S70" i="6" s="1"/>
  <c r="H97" i="6" s="1"/>
  <c r="H60" i="7" s="1"/>
  <c r="J81" i="6"/>
  <c r="I86" i="6"/>
  <c r="S86" i="6" s="1"/>
  <c r="I96" i="6" s="1"/>
  <c r="I59" i="7" s="1"/>
  <c r="K80" i="6"/>
  <c r="K75" i="6"/>
  <c r="I79" i="6"/>
  <c r="S79" i="6" s="1"/>
  <c r="F98" i="6" s="1"/>
  <c r="F61" i="7" s="1"/>
  <c r="K76" i="6"/>
  <c r="I74" i="6"/>
  <c r="S74" i="6" s="1"/>
  <c r="G98" i="6" s="1"/>
  <c r="G61" i="7" s="1"/>
  <c r="K81" i="6"/>
  <c r="R56" i="6"/>
  <c r="Q57" i="6"/>
  <c r="O71" i="6" s="1"/>
  <c r="N74" i="6"/>
  <c r="P75" i="6"/>
  <c r="N79" i="6"/>
  <c r="O86" i="6"/>
  <c r="M69" i="6"/>
  <c r="T69" i="6" s="1"/>
  <c r="Q98" i="6" s="1"/>
  <c r="H70" i="7" s="1"/>
  <c r="P80" i="6"/>
  <c r="M84" i="6"/>
  <c r="T84" i="6" s="1"/>
  <c r="R98" i="6" s="1"/>
  <c r="I70" i="7" s="1"/>
  <c r="O70" i="6"/>
  <c r="P81" i="6"/>
  <c r="P76" i="6"/>
  <c r="O85" i="6"/>
  <c r="S76" i="10"/>
  <c r="F94" i="10" s="1"/>
  <c r="F54" i="9" s="1"/>
  <c r="T79" i="10"/>
  <c r="Q97" i="10" s="1"/>
  <c r="H66" i="9" s="1"/>
  <c r="Q59" i="10"/>
  <c r="R59" i="10"/>
  <c r="Q57" i="10"/>
  <c r="M77" i="10"/>
  <c r="M76" i="10"/>
  <c r="M75" i="10"/>
  <c r="O69" i="10"/>
  <c r="T69" i="10" s="1"/>
  <c r="P97" i="10" s="1"/>
  <c r="G66" i="9" s="1"/>
  <c r="P73" i="10"/>
  <c r="T73" i="10" s="1"/>
  <c r="O96" i="10" s="1"/>
  <c r="F65" i="9" s="1"/>
  <c r="O79" i="10"/>
  <c r="O78" i="10"/>
  <c r="T78" i="10" s="1"/>
  <c r="Q96" i="10" s="1"/>
  <c r="H65" i="9" s="1"/>
  <c r="P74" i="10"/>
  <c r="T74" i="10" s="1"/>
  <c r="O97" i="10" s="1"/>
  <c r="F66" i="9" s="1"/>
  <c r="O68" i="10"/>
  <c r="T68" i="10" s="1"/>
  <c r="P96" i="10" s="1"/>
  <c r="G65" i="9" s="1"/>
  <c r="Q58" i="10"/>
  <c r="O77" i="10"/>
  <c r="O75" i="10"/>
  <c r="O76" i="10"/>
  <c r="P75" i="10"/>
  <c r="P76" i="10"/>
  <c r="P77" i="10"/>
  <c r="O70" i="10"/>
  <c r="O80" i="10"/>
  <c r="O71" i="10"/>
  <c r="O72" i="10"/>
  <c r="O82" i="10"/>
  <c r="O81" i="10"/>
  <c r="M82" i="10"/>
  <c r="M72" i="10"/>
  <c r="M71" i="10"/>
  <c r="T71" i="10" s="1"/>
  <c r="P94" i="10" s="1"/>
  <c r="G63" i="9" s="1"/>
  <c r="M81" i="10"/>
  <c r="T81" i="10" s="1"/>
  <c r="Q94" i="10" s="1"/>
  <c r="H63" i="9" s="1"/>
  <c r="M70" i="10"/>
  <c r="N77" i="10"/>
  <c r="N76" i="10"/>
  <c r="N75" i="10"/>
  <c r="M80" i="10"/>
  <c r="N71" i="6" l="1"/>
  <c r="N70" i="6"/>
  <c r="Q56" i="6"/>
  <c r="M86" i="6"/>
  <c r="T86" i="6" s="1"/>
  <c r="R96" i="6" s="1"/>
  <c r="I68" i="7" s="1"/>
  <c r="M85" i="6"/>
  <c r="T85" i="6" s="1"/>
  <c r="R97" i="6" s="1"/>
  <c r="I69" i="7" s="1"/>
  <c r="M70" i="6"/>
  <c r="T70" i="6" s="1"/>
  <c r="Q97" i="6" s="1"/>
  <c r="H69" i="7" s="1"/>
  <c r="N80" i="6"/>
  <c r="N75" i="6"/>
  <c r="N81" i="6"/>
  <c r="N76" i="6"/>
  <c r="M71" i="6"/>
  <c r="T71" i="6" s="1"/>
  <c r="Q96" i="6" s="1"/>
  <c r="H68" i="7" s="1"/>
  <c r="O80" i="6"/>
  <c r="M79" i="6"/>
  <c r="T79" i="6" s="1"/>
  <c r="O98" i="6" s="1"/>
  <c r="F70" i="7" s="1"/>
  <c r="O75" i="6"/>
  <c r="M74" i="6"/>
  <c r="T74" i="6" s="1"/>
  <c r="P98" i="6" s="1"/>
  <c r="G70" i="7" s="1"/>
  <c r="O81" i="6"/>
  <c r="O76" i="6"/>
  <c r="I76" i="6"/>
  <c r="S76" i="6" s="1"/>
  <c r="G96" i="6" s="1"/>
  <c r="G59" i="7" s="1"/>
  <c r="I80" i="6"/>
  <c r="S80" i="6" s="1"/>
  <c r="F97" i="6" s="1"/>
  <c r="F60" i="7" s="1"/>
  <c r="I75" i="6"/>
  <c r="S75" i="6" s="1"/>
  <c r="G97" i="6" s="1"/>
  <c r="G60" i="7" s="1"/>
  <c r="I81" i="6"/>
  <c r="S81" i="6" s="1"/>
  <c r="F96" i="6" s="1"/>
  <c r="F59" i="7" s="1"/>
  <c r="T76" i="10"/>
  <c r="O94" i="10" s="1"/>
  <c r="F63" i="9" s="1"/>
  <c r="T82" i="10"/>
  <c r="Q93" i="10" s="1"/>
  <c r="H62" i="9" s="1"/>
  <c r="T70" i="10"/>
  <c r="P95" i="10" s="1"/>
  <c r="G64" i="9" s="1"/>
  <c r="T75" i="10"/>
  <c r="O95" i="10" s="1"/>
  <c r="F64" i="9" s="1"/>
  <c r="T77" i="10"/>
  <c r="O93" i="10" s="1"/>
  <c r="F62" i="9" s="1"/>
  <c r="T72" i="10"/>
  <c r="P93" i="10" s="1"/>
  <c r="G62" i="9" s="1"/>
  <c r="T80" i="10"/>
  <c r="Q95" i="10" s="1"/>
  <c r="H64" i="9" s="1"/>
  <c r="M76" i="6" l="1"/>
  <c r="T76" i="6" s="1"/>
  <c r="P96" i="6" s="1"/>
  <c r="G68" i="7" s="1"/>
  <c r="M81" i="6"/>
  <c r="T81" i="6" s="1"/>
  <c r="O96" i="6" s="1"/>
  <c r="F68" i="7" s="1"/>
  <c r="M80" i="6"/>
  <c r="T80" i="6" s="1"/>
  <c r="O97" i="6" s="1"/>
  <c r="F69" i="7" s="1"/>
  <c r="M75" i="6"/>
  <c r="T75" i="6" s="1"/>
  <c r="P97" i="6" s="1"/>
  <c r="G69" i="7" s="1"/>
</calcChain>
</file>

<file path=xl/sharedStrings.xml><?xml version="1.0" encoding="utf-8"?>
<sst xmlns="http://schemas.openxmlformats.org/spreadsheetml/2006/main" count="377" uniqueCount="203">
  <si>
    <t>Températures amont principales (°C)</t>
  </si>
  <si>
    <t>Priorité</t>
  </si>
  <si>
    <t>Pabs</t>
  </si>
  <si>
    <t>kW</t>
  </si>
  <si>
    <t>-</t>
  </si>
  <si>
    <t>CTav</t>
  </si>
  <si>
    <t>COPPAC</t>
  </si>
  <si>
    <t>COP11</t>
  </si>
  <si>
    <t>COP21</t>
  </si>
  <si>
    <t>COP12</t>
  </si>
  <si>
    <t>COP22</t>
  </si>
  <si>
    <t>Pabs11</t>
  </si>
  <si>
    <t>Pabs12</t>
  </si>
  <si>
    <t>Pabs21</t>
  </si>
  <si>
    <t>Pabs22</t>
  </si>
  <si>
    <t>Ctam</t>
  </si>
  <si>
    <t>COP PAC</t>
  </si>
  <si>
    <t>PabsPAC</t>
  </si>
  <si>
    <t>T aval principales (°C)</t>
  </si>
  <si>
    <t>CnnPabs</t>
  </si>
  <si>
    <t>CnnamCOP</t>
  </si>
  <si>
    <t>CnnavCOP</t>
  </si>
  <si>
    <t>COP 13141-7</t>
  </si>
  <si>
    <t>Pabs 13141-7</t>
  </si>
  <si>
    <t>Obl.</t>
  </si>
  <si>
    <t>Option</t>
  </si>
  <si>
    <t>Qsouf (m3/h)</t>
  </si>
  <si>
    <t>Cp (J/(kg.K))</t>
  </si>
  <si>
    <t>Efficacité de l'échangeur</t>
  </si>
  <si>
    <t>Rho_ref (kg/m3)</t>
  </si>
  <si>
    <t>Qrep (m3/h)</t>
  </si>
  <si>
    <t>Trep(°C)</t>
  </si>
  <si>
    <t>T an (°C)</t>
  </si>
  <si>
    <t>Pfoutot (kW)</t>
  </si>
  <si>
    <t>PfouEch (kW)</t>
  </si>
  <si>
    <t>Pventrep (W)</t>
  </si>
  <si>
    <t>Pventsouf (W)</t>
  </si>
  <si>
    <t>T_ref (°C)</t>
  </si>
  <si>
    <t>Débit volumique repris sans recyclage d'air intérieur</t>
  </si>
  <si>
    <t>Débit volumique soufflé sans recyclage d'air intérieur</t>
  </si>
  <si>
    <t>Débit volumique de recyclage côté air extrait</t>
  </si>
  <si>
    <t>Débit volumique de recyclage côté air soufflé</t>
  </si>
  <si>
    <t>Efficacité de l'échangeur certifiée</t>
  </si>
  <si>
    <t>qm_souf (kg/h)</t>
  </si>
  <si>
    <t>qm_recycle_souf (kg/h)</t>
  </si>
  <si>
    <t>qm_rep (kg/h)</t>
  </si>
  <si>
    <t>qm_recycle_rep (kg/h)</t>
  </si>
  <si>
    <t>Conditions et résultats d'essais selon la norme 13141-7</t>
  </si>
  <si>
    <t>Qrecycl_rep (m3/h)</t>
  </si>
  <si>
    <t>Qrecycl_souf (m3/h)</t>
  </si>
  <si>
    <t>COP</t>
  </si>
  <si>
    <t>COP mesurée</t>
  </si>
  <si>
    <t>Pabs mesurée</t>
  </si>
  <si>
    <t>Matrice de performances à pleine charge à saisir dans le générateur thermodynamique de type "2) air extérieur/air recyclé" utilisé dans le calcul règlementaire</t>
  </si>
  <si>
    <t>Puissance absorbée par le ventilateur de soufflage en mode chauffage (saisie dans le calcul RT2012)</t>
  </si>
  <si>
    <t>Puissance absorbée par le ventilateur de reprise en mode chauffage (saisie dans le calcul RT2012)</t>
  </si>
  <si>
    <t>Deuxième étape: construction de matrices de performances complètes de la pompe à chaleur seule aux différentes températures recalculées</t>
  </si>
  <si>
    <t>Conditions et résultats d'essais selon la norme 13141-7 en mode chauffage</t>
  </si>
  <si>
    <t>Rappel: le présent outil de conversion n'est à utilisé que dans le cas où les essais selon la norme EN 13141-7 porte sur l'ensemble récupérateur statique - pompe à chaleur air extrait/air neuf  et/ou le cas où le système fait appel à du recyclage d'air intérieur ou extérieur.</t>
  </si>
  <si>
    <t>Résultats d'essais à définir par l'utilisateur</t>
  </si>
  <si>
    <t>Conditions et résultats d'essais selon la norme 13141-7 en mode refroidissement</t>
  </si>
  <si>
    <t>EER mesurée</t>
  </si>
  <si>
    <t>EER</t>
  </si>
  <si>
    <t>Puissance absorbée par le ventilateur de soufflage en Mode refroidissement (saisie dans le calcul RT2012)</t>
  </si>
  <si>
    <t>Puissance absorbée par le ventilateur de reprise en Mode refroidissement (saisie dans le calcul RT2012)</t>
  </si>
  <si>
    <t>CnnavEER</t>
  </si>
  <si>
    <t>CnnamEER</t>
  </si>
  <si>
    <t>EER 13141-7</t>
  </si>
  <si>
    <t>Première étape: calcul des températures de sources aux bornes de la PAC et du EER de la PAC seule à partir des résultats d'essais</t>
  </si>
  <si>
    <t>EER11</t>
  </si>
  <si>
    <t>EER12</t>
  </si>
  <si>
    <t>EER21</t>
  </si>
  <si>
    <t>EER22</t>
  </si>
  <si>
    <t>EER PAC</t>
  </si>
  <si>
    <t>EER_PAC</t>
  </si>
  <si>
    <t>CnnamPabs</t>
  </si>
  <si>
    <t>Is_OK_fr</t>
  </si>
  <si>
    <t>Vérifie qu'il est bien nécessaire d'utiliser le préprocesseur (il y a un échangeur et/ou du recyclage d'air)</t>
  </si>
  <si>
    <t>Is_OK_ch</t>
  </si>
  <si>
    <t>Limite d'utilisation en mode chauffage</t>
  </si>
  <si>
    <t>Limites d'utilisation (si indiquée par le fabricant)</t>
  </si>
  <si>
    <t>Température minimale amont (air extrait) en dessous de laquelle la machine ne peut plus fonctionner</t>
  </si>
  <si>
    <t>θmin_am</t>
  </si>
  <si>
    <t>Limites d'utilisation (si renseignées dans les paramètres d'entrée)</t>
  </si>
  <si>
    <t>Matrice de performances à pleine charge à saisir dans le générateur thermodynamique de type "3) air extrait/air neuf" utilisé dans le calcul règlementaire</t>
  </si>
  <si>
    <t>Première étape: calcul des températures de sources aux bornes de la PAC et du COP de la PAC seule à partir des résultats d'essais
calcul de la température d'air extrait minimale correspondant à la température limite d'utilisation.</t>
  </si>
  <si>
    <t>COP  13141-7</t>
  </si>
  <si>
    <t>Pfoutot - PfouEch (kW)</t>
  </si>
  <si>
    <t>Wrep (W)</t>
  </si>
  <si>
    <t>Wsouf (W)</t>
  </si>
  <si>
    <t>COP_sans_échangeur</t>
  </si>
  <si>
    <t xml:space="preserve">Température d'air neuf (air extérieur) la plus basse  à laquelle le système peut fonctionner </t>
  </si>
  <si>
    <t>Puissance absorbée par le ventilateur de reprise en  mode chauffage pour vaincre les pertes de charge extérieures à la centrale  (puissance saisie dans l'extension dynamique accompagnant le titre V)</t>
  </si>
  <si>
    <t>Puissance absorbée par le ventilateur de soufflage en  mode chauffage pour vaincre les pertes de charge extérieures à la centrale (puissance saisie dans l'extension dynamique accompagnant le titre V)</t>
  </si>
  <si>
    <t>θan_min (°C)</t>
  </si>
  <si>
    <r>
      <rPr>
        <sz val="11"/>
        <color indexed="8"/>
        <rFont val="Calibri"/>
        <family val="2"/>
      </rPr>
      <t>θ</t>
    </r>
    <r>
      <rPr>
        <sz val="11"/>
        <color theme="1"/>
        <rFont val="Calibri"/>
        <family val="2"/>
        <scheme val="minor"/>
      </rPr>
      <t>an min (°C)</t>
    </r>
  </si>
  <si>
    <t>θair neuf(°C)</t>
  </si>
  <si>
    <t>θair repris(°C)</t>
  </si>
  <si>
    <t>Températures
 aval principales (°C)</t>
  </si>
  <si>
    <t>θMin_Am (°C)</t>
  </si>
  <si>
    <t>θam (°C)</t>
  </si>
  <si>
    <t>θav (°C)</t>
  </si>
  <si>
    <t>θav(°C)</t>
  </si>
  <si>
    <t>θav1</t>
  </si>
  <si>
    <t>θav2</t>
  </si>
  <si>
    <t>θam1</t>
  </si>
  <si>
    <t>θam2</t>
  </si>
  <si>
    <t xml:space="preserve">Troisième étape: calcul des COP et Pabs pour les θam et θav des matrices de performance RT 2012 à partir des matrices intermédiaires de la deuxième étape </t>
  </si>
  <si>
    <t>θam</t>
  </si>
  <si>
    <t>θav</t>
  </si>
  <si>
    <t>θan</t>
  </si>
  <si>
    <t>θrep(°C)</t>
  </si>
  <si>
    <t>θan (°C)</t>
  </si>
  <si>
    <t>θref (°C)</t>
  </si>
  <si>
    <t>θrep (°C)</t>
  </si>
  <si>
    <t>θmin_am (°C)</t>
  </si>
  <si>
    <t>θrep</t>
  </si>
  <si>
    <t>EER  13141-7</t>
  </si>
  <si>
    <t>EER_sans_échangeur</t>
  </si>
  <si>
    <t xml:space="preserve">Troisième étape: calcul des EER et Pabs pour les θ am et θav des matrices de performance RT 2012 à partir des matrices intermédiaires de la deuxième étape </t>
  </si>
  <si>
    <t>θ av(°C)</t>
  </si>
  <si>
    <t>θ am (°C)</t>
  </si>
  <si>
    <t>θ av1</t>
  </si>
  <si>
    <t>θ av2</t>
  </si>
  <si>
    <t>Référence du système (informatif)</t>
  </si>
  <si>
    <t>Correction</t>
  </si>
  <si>
    <t>Efficacité de l'échangeur connue</t>
  </si>
  <si>
    <t>Efficacité de l'échangeur  en chauffage ou ventilation, corrigée selon statut donnée</t>
  </si>
  <si>
    <t>Efficacité de l'échangeur effective</t>
  </si>
  <si>
    <t>Efficacité de l'échangeur  en chauffage effective</t>
  </si>
  <si>
    <t>Efficacité de l'échangeur par défaut</t>
  </si>
  <si>
    <t>Efficacité de l'échangeur  en chauffage à partir de l'efficacité connue</t>
  </si>
  <si>
    <t>Débit volumique repris en ventilation seule</t>
  </si>
  <si>
    <t>Débit volumique soufflé en ventilation seule</t>
  </si>
  <si>
    <t>Mode chauffage sans recyclage d'air</t>
  </si>
  <si>
    <t>Type de mode chauffage/ en mode refroidissement</t>
  </si>
  <si>
    <t>Mode ventilation seule</t>
  </si>
  <si>
    <t>Puissance de ventilateurs en mode chauffage</t>
  </si>
  <si>
    <t>Efficacité de l'échangeur (valable pour les deux modes)</t>
  </si>
  <si>
    <t>ε(-)</t>
  </si>
  <si>
    <t>Mode chauffage avec recyclage d'air</t>
  </si>
  <si>
    <t>Efficacité de l'échangeur  utilisée dans le calcul</t>
  </si>
  <si>
    <t>Type de mode refroidissement</t>
  </si>
  <si>
    <t>Type de mode chauffage</t>
  </si>
  <si>
    <t>Mode refroidissement avec recyclage d'air</t>
  </si>
  <si>
    <t>Mode refroidissement sans recyclage d'air</t>
  </si>
  <si>
    <t>Efficacité de l'échangeur  en refroidissement ou ventilation, corrigée selon statut donnée</t>
  </si>
  <si>
    <t>Efficacité de l'échangeur  en refroidissement à partir de l'efficacité connue</t>
  </si>
  <si>
    <t>Efficacité de l'échangeur  en refroidissement effective</t>
  </si>
  <si>
    <t>Puissance de ventilateurs en mode refroidissement</t>
  </si>
  <si>
    <t>Puissance absorbée par le ventilateur de soufflage en  mode refroidissement pour vaincre les pertes de charge extérieures à la centrale (puissance saisie dans l'extension dynamique accompagnant le titre V)</t>
  </si>
  <si>
    <t>Puissance absorbée par le ventilateur de reprise en  mode refroidissement pour vaincre les pertes de charge extérieures à la centrale  (puissance saisie dans l'extension dynamique accompagnant le titre V)</t>
  </si>
  <si>
    <t>Cv (J/(kg.K))</t>
  </si>
  <si>
    <t>Lv (J/kg)</t>
  </si>
  <si>
    <t>Puissance absorbée effective mesurée</t>
  </si>
  <si>
    <t>qsou (m3/h)</t>
  </si>
  <si>
    <t>qrep (m3/h)</t>
  </si>
  <si>
    <t>Débit volumique soufflé sans recyclage</t>
  </si>
  <si>
    <t>Débit volumique repris sans recyclage</t>
  </si>
  <si>
    <t>Pvent_sou (W)</t>
  </si>
  <si>
    <t>Pvent_rep (W)</t>
  </si>
  <si>
    <t>id_mode</t>
  </si>
  <si>
    <t>Essais en ventilation seule</t>
  </si>
  <si>
    <t>qsou_modeCH/FR (m3/h)</t>
  </si>
  <si>
    <t>qrep_modeCH/FR  (m3/h)</t>
  </si>
  <si>
    <t>qrecyclé_CH/FR,int (m3/h)</t>
  </si>
  <si>
    <t>qrecyclé_CH/FR,extr (m3/h)</t>
  </si>
  <si>
    <t>qm_recycle_sou (kg/h)</t>
  </si>
  <si>
    <t>qm_sou (kg/h)</t>
  </si>
  <si>
    <t>qrecycl_sou (m3/h)</t>
  </si>
  <si>
    <t>qrecycl_rep (m3/h)</t>
  </si>
  <si>
    <t>Pabs 13141-7 (kW)</t>
  </si>
  <si>
    <t>Efficacité de l'échangeur mesurée</t>
  </si>
  <si>
    <t>Certifiés</t>
  </si>
  <si>
    <t>Justifiés</t>
  </si>
  <si>
    <t>Efficacité d'échangeur disponible ?</t>
  </si>
  <si>
    <t>Statuts des résultats d'essai</t>
  </si>
  <si>
    <t>Pour le mode chauffage</t>
  </si>
  <si>
    <t>Pour la ventilation seule uniquement</t>
  </si>
  <si>
    <t>Disponibilité efficacité chauffage</t>
  </si>
  <si>
    <t>Disponibilité efficacité refroidissement</t>
  </si>
  <si>
    <t>Eff_utile_max</t>
  </si>
  <si>
    <t>Pour le mode refroidissement</t>
  </si>
  <si>
    <t>Déclarés par le fabricant</t>
  </si>
  <si>
    <t>Statuts efficacité (selon méthode Th-BCE)</t>
  </si>
  <si>
    <t>Essai en mode chauffage sans recyclage d'air</t>
  </si>
  <si>
    <t>Essai en mode chauffage par recyclage d'air intérieur/extérieur</t>
  </si>
  <si>
    <t>Mode refroidissement par recyclage d'air intérieur/extérieur</t>
  </si>
  <si>
    <t>Efficacité de l'échangeur  corrigée selon le statut de données</t>
  </si>
  <si>
    <t>Efficacité de l'échangeur effective ε_eff</t>
  </si>
  <si>
    <r>
      <t xml:space="preserve">Efficacité de l'échangeur effective </t>
    </r>
    <r>
      <rPr>
        <sz val="11"/>
        <color indexed="8"/>
        <rFont val="Calibri"/>
        <family val="2"/>
      </rPr>
      <t>ε_eff</t>
    </r>
  </si>
  <si>
    <t>id_statut</t>
  </si>
  <si>
    <t>Note: lorsque les résultats d'essais sont déclarés par le fabricant, seule la valeur pivot peut être définie dans la méthode Th-BCE</t>
  </si>
  <si>
    <t>Efficacité d'échangeur disponible (id_source) ?</t>
  </si>
  <si>
    <t>Pas de recyclage d’air int./ext.</t>
  </si>
  <si>
    <t>Avec recyclage d’air int./ext.</t>
  </si>
  <si>
    <t xml:space="preserve">Mydatec </t>
  </si>
  <si>
    <t>Mydatec</t>
  </si>
  <si>
    <t>Outil de conversion des résultats d’essais de performance énergétique
en mode chauffage selon la norme EN 13141-7 pour utilisation
dans le moteur de calcul règlementaire TH-BCE 2020</t>
  </si>
  <si>
    <t>Prise en compte des systèmes de ventilation double-flux thermodynamique dans la réglementation environnementale RE2020</t>
  </si>
  <si>
    <t>Version 1 : Mise en ligne le 27/02/2023</t>
  </si>
  <si>
    <t>Outil de conversion des résultats d’essais de performance énergétique
en mode refroidissement selon la norme EN 13141-7
pour utilisation dans le moteur de calcul règlementaire TH-BCE 2020</t>
  </si>
  <si>
    <t>Prise en compte des systèmes de ventilation double-flux thermodynamique dans la réglementation environnementale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</si>
</sst>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"/>
      <family val="2"/>
    </font>
    <font>
      <i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i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Arial Narrow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2" fontId="0" fillId="3" borderId="0" xfId="0" applyNumberForma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right"/>
    </xf>
    <xf numFmtId="0" fontId="0" fillId="3" borderId="0" xfId="0" quotePrefix="1" applyFill="1"/>
    <xf numFmtId="0" fontId="7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0" fillId="3" borderId="0" xfId="0" quotePrefix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/>
    <xf numFmtId="2" fontId="0" fillId="4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2" fontId="0" fillId="3" borderId="0" xfId="0" applyNumberFormat="1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0" xfId="0" quotePrefix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right" vertical="center"/>
    </xf>
    <xf numFmtId="0" fontId="0" fillId="5" borderId="0" xfId="0" applyFill="1"/>
    <xf numFmtId="0" fontId="0" fillId="5" borderId="0" xfId="0" applyFill="1" applyBorder="1"/>
    <xf numFmtId="0" fontId="5" fillId="5" borderId="0" xfId="0" applyFont="1" applyFill="1"/>
    <xf numFmtId="0" fontId="9" fillId="5" borderId="0" xfId="0" applyFont="1" applyFill="1" applyAlignment="1">
      <alignment horizontal="center" wrapText="1"/>
    </xf>
    <xf numFmtId="0" fontId="0" fillId="3" borderId="0" xfId="0" applyFont="1" applyFill="1"/>
    <xf numFmtId="0" fontId="0" fillId="3" borderId="0" xfId="0" applyFill="1" applyBorder="1" applyAlignment="1">
      <alignment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6" fillId="6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10" fillId="3" borderId="0" xfId="0" applyFont="1" applyFill="1" applyBorder="1"/>
    <xf numFmtId="0" fontId="6" fillId="6" borderId="12" xfId="0" applyFont="1" applyFill="1" applyBorder="1" applyAlignment="1" applyProtection="1">
      <alignment horizontal="center" vertical="center"/>
      <protection locked="0"/>
    </xf>
    <xf numFmtId="2" fontId="6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164" fontId="7" fillId="3" borderId="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" fontId="0" fillId="3" borderId="17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wrapText="1"/>
    </xf>
    <xf numFmtId="164" fontId="0" fillId="4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left"/>
    </xf>
    <xf numFmtId="2" fontId="0" fillId="3" borderId="3" xfId="0" applyNumberForma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3" borderId="0" xfId="0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/>
    </xf>
    <xf numFmtId="0" fontId="5" fillId="0" borderId="0" xfId="0" applyFont="1"/>
    <xf numFmtId="0" fontId="11" fillId="0" borderId="0" xfId="0" applyFont="1"/>
    <xf numFmtId="0" fontId="11" fillId="3" borderId="0" xfId="0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2" fontId="0" fillId="3" borderId="0" xfId="0" applyNumberFormat="1" applyFont="1" applyFill="1" applyAlignment="1">
      <alignment horizontal="center"/>
    </xf>
    <xf numFmtId="0" fontId="8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5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/>
    <xf numFmtId="0" fontId="14" fillId="3" borderId="2" xfId="0" applyFont="1" applyFill="1" applyBorder="1"/>
    <xf numFmtId="0" fontId="0" fillId="6" borderId="12" xfId="0" applyFont="1" applyFill="1" applyBorder="1" applyAlignment="1" applyProtection="1">
      <protection locked="0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7" fillId="2" borderId="0" xfId="0" applyFont="1" applyFill="1"/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4" fillId="3" borderId="20" xfId="0" applyFont="1" applyFill="1" applyBorder="1"/>
    <xf numFmtId="0" fontId="2" fillId="3" borderId="21" xfId="0" applyFont="1" applyFill="1" applyBorder="1"/>
    <xf numFmtId="0" fontId="2" fillId="3" borderId="21" xfId="0" applyFont="1" applyFill="1" applyBorder="1" applyAlignment="1">
      <alignment vertical="center"/>
    </xf>
    <xf numFmtId="0" fontId="17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/>
    <xf numFmtId="0" fontId="2" fillId="3" borderId="25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6" fillId="3" borderId="11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6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19" fillId="5" borderId="5" xfId="0" applyFont="1" applyFill="1" applyBorder="1" applyAlignment="1">
      <alignment horizontal="left" wrapText="1"/>
    </xf>
    <xf numFmtId="0" fontId="0" fillId="6" borderId="28" xfId="0" applyFill="1" applyBorder="1" applyAlignment="1" applyProtection="1">
      <alignment horizontal="left" vertical="center"/>
      <protection locked="0"/>
    </xf>
    <xf numFmtId="0" fontId="0" fillId="6" borderId="29" xfId="0" applyFill="1" applyBorder="1" applyAlignment="1" applyProtection="1">
      <alignment horizontal="left" vertical="center"/>
      <protection locked="0"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28" xfId="0" applyFont="1" applyFill="1" applyBorder="1" applyAlignment="1" applyProtection="1">
      <alignment horizontal="left"/>
      <protection locked="0"/>
    </xf>
    <xf numFmtId="0" fontId="0" fillId="6" borderId="29" xfId="0" applyFont="1" applyFill="1" applyBorder="1" applyAlignment="1" applyProtection="1">
      <alignment horizontal="left"/>
      <protection locked="0"/>
    </xf>
    <xf numFmtId="0" fontId="0" fillId="6" borderId="30" xfId="0" applyFont="1" applyFill="1" applyBorder="1" applyAlignment="1" applyProtection="1">
      <alignment horizontal="left"/>
      <protection locked="0"/>
    </xf>
    <xf numFmtId="2" fontId="6" fillId="3" borderId="11" xfId="0" applyNumberFormat="1" applyFont="1" applyFill="1" applyBorder="1" applyAlignment="1">
      <alignment horizontal="center" vertical="center" textRotation="90"/>
    </xf>
    <xf numFmtId="2" fontId="6" fillId="3" borderId="17" xfId="0" applyNumberFormat="1" applyFont="1" applyFill="1" applyBorder="1" applyAlignment="1">
      <alignment horizontal="center" vertical="center" textRotation="90"/>
    </xf>
    <xf numFmtId="2" fontId="6" fillId="3" borderId="16" xfId="0" applyNumberFormat="1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87925</xdr:colOff>
      <xdr:row>0</xdr:row>
      <xdr:rowOff>65942</xdr:rowOff>
    </xdr:from>
    <xdr:to>
      <xdr:col>14</xdr:col>
      <xdr:colOff>579476</xdr:colOff>
      <xdr:row>2</xdr:row>
      <xdr:rowOff>54230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3387" y="65942"/>
          <a:ext cx="1253551" cy="1080000"/>
        </a:xfrm>
        <a:prstGeom prst="rect">
          <a:avLst/>
        </a:prstGeom>
      </xdr:spPr>
    </xdr:pic>
    <xdr:clientData/>
  </xdr:twoCellAnchor>
  <xdr:twoCellAnchor>
    <xdr:from>
      <xdr:col>5</xdr:col>
      <xdr:colOff>523875</xdr:colOff>
      <xdr:row>46</xdr:row>
      <xdr:rowOff>66675</xdr:rowOff>
    </xdr:from>
    <xdr:to>
      <xdr:col>7</xdr:col>
      <xdr:colOff>384187</xdr:colOff>
      <xdr:row>48</xdr:row>
      <xdr:rowOff>149536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7E33606C-F97F-3C4C-EC7F-1EC3D4F25D56}"/>
            </a:ext>
          </a:extLst>
        </xdr:cNvPr>
        <xdr:cNvSpPr/>
      </xdr:nvSpPr>
      <xdr:spPr>
        <a:xfrm>
          <a:off x="3409950" y="7372350"/>
          <a:ext cx="1390650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40</xdr:row>
      <xdr:rowOff>76200</xdr:rowOff>
    </xdr:from>
    <xdr:to>
      <xdr:col>7</xdr:col>
      <xdr:colOff>720939</xdr:colOff>
      <xdr:row>42</xdr:row>
      <xdr:rowOff>180975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DE1F1BF6-C2EA-D78A-35D3-43FC2B8159D4}"/>
            </a:ext>
          </a:extLst>
        </xdr:cNvPr>
        <xdr:cNvSpPr/>
      </xdr:nvSpPr>
      <xdr:spPr>
        <a:xfrm>
          <a:off x="3657600" y="6438900"/>
          <a:ext cx="1390650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6</xdr:col>
      <xdr:colOff>88900</xdr:colOff>
      <xdr:row>40</xdr:row>
      <xdr:rowOff>76200</xdr:rowOff>
    </xdr:from>
    <xdr:to>
      <xdr:col>7</xdr:col>
      <xdr:colOff>720939</xdr:colOff>
      <xdr:row>42</xdr:row>
      <xdr:rowOff>180975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FD024668-1AE0-5B98-52BA-B9B4AB051647}"/>
            </a:ext>
          </a:extLst>
        </xdr:cNvPr>
        <xdr:cNvSpPr/>
      </xdr:nvSpPr>
      <xdr:spPr>
        <a:xfrm>
          <a:off x="3905250" y="6448425"/>
          <a:ext cx="1390650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13</xdr:col>
      <xdr:colOff>0</xdr:colOff>
      <xdr:row>0</xdr:row>
      <xdr:rowOff>53139</xdr:rowOff>
    </xdr:from>
    <xdr:to>
      <xdr:col>14</xdr:col>
      <xdr:colOff>663001</xdr:colOff>
      <xdr:row>2</xdr:row>
      <xdr:rowOff>79374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139"/>
          <a:ext cx="1254554" cy="10840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127000</xdr:colOff>
      <xdr:row>55</xdr:row>
      <xdr:rowOff>82550</xdr:rowOff>
    </xdr:from>
    <xdr:to>
      <xdr:col>19</xdr:col>
      <xdr:colOff>384590</xdr:colOff>
      <xdr:row>58</xdr:row>
      <xdr:rowOff>104951</xdr:rowOff>
    </xdr:to>
    <xdr:sp macro="" textlink="">
      <xdr:nvSpPr>
        <xdr:cNvPr id="5" name="Flèche vers le haut 4">
          <a:extLst>
            <a:ext uri="{FF2B5EF4-FFF2-40B4-BE49-F238E27FC236}">
              <a16:creationId xmlns:a16="http://schemas.microsoft.com/office/drawing/2014/main" id="{3091BF16-DE18-EF7C-EA8B-31E8C86D7755}"/>
            </a:ext>
          </a:extLst>
        </xdr:cNvPr>
        <xdr:cNvSpPr/>
      </xdr:nvSpPr>
      <xdr:spPr>
        <a:xfrm>
          <a:off x="9448800" y="6010275"/>
          <a:ext cx="257175" cy="723900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314325</xdr:colOff>
      <xdr:row>58</xdr:row>
      <xdr:rowOff>1</xdr:rowOff>
    </xdr:from>
    <xdr:to>
      <xdr:col>19</xdr:col>
      <xdr:colOff>276225</xdr:colOff>
      <xdr:row>59</xdr:row>
      <xdr:rowOff>6668</xdr:rowOff>
    </xdr:to>
    <xdr:sp macro="" textlink="">
      <xdr:nvSpPr>
        <xdr:cNvPr id="8" name="Flèche gauche 7">
          <a:extLst>
            <a:ext uri="{FF2B5EF4-FFF2-40B4-BE49-F238E27FC236}">
              <a16:creationId xmlns:a16="http://schemas.microsoft.com/office/drawing/2014/main" id="{65554608-7958-5061-B561-6A91D127BC7E}"/>
            </a:ext>
          </a:extLst>
        </xdr:cNvPr>
        <xdr:cNvSpPr/>
      </xdr:nvSpPr>
      <xdr:spPr>
        <a:xfrm>
          <a:off x="8191500" y="6629401"/>
          <a:ext cx="1409700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18</xdr:col>
      <xdr:colOff>117475</xdr:colOff>
      <xdr:row>55</xdr:row>
      <xdr:rowOff>104776</xdr:rowOff>
    </xdr:from>
    <xdr:to>
      <xdr:col>18</xdr:col>
      <xdr:colOff>377865</xdr:colOff>
      <xdr:row>57</xdr:row>
      <xdr:rowOff>114300</xdr:rowOff>
    </xdr:to>
    <xdr:sp macro="" textlink="">
      <xdr:nvSpPr>
        <xdr:cNvPr id="11" name="Flèche vers le haut 10">
          <a:extLst>
            <a:ext uri="{FF2B5EF4-FFF2-40B4-BE49-F238E27FC236}">
              <a16:creationId xmlns:a16="http://schemas.microsoft.com/office/drawing/2014/main" id="{58BFCD27-EEBA-B433-A468-00D47664FECA}"/>
            </a:ext>
          </a:extLst>
        </xdr:cNvPr>
        <xdr:cNvSpPr/>
      </xdr:nvSpPr>
      <xdr:spPr>
        <a:xfrm>
          <a:off x="8934450" y="6019801"/>
          <a:ext cx="257175" cy="485774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336549</xdr:colOff>
      <xdr:row>57</xdr:row>
      <xdr:rowOff>9525</xdr:rowOff>
    </xdr:from>
    <xdr:to>
      <xdr:col>18</xdr:col>
      <xdr:colOff>307975</xdr:colOff>
      <xdr:row>58</xdr:row>
      <xdr:rowOff>28574</xdr:rowOff>
    </xdr:to>
    <xdr:sp macro="" textlink="">
      <xdr:nvSpPr>
        <xdr:cNvPr id="12" name="Flèche gauche 11">
          <a:extLst>
            <a:ext uri="{FF2B5EF4-FFF2-40B4-BE49-F238E27FC236}">
              <a16:creationId xmlns:a16="http://schemas.microsoft.com/office/drawing/2014/main" id="{FC202128-EDEC-CE4F-0A17-F93FA324EBAE}"/>
            </a:ext>
          </a:extLst>
        </xdr:cNvPr>
        <xdr:cNvSpPr/>
      </xdr:nvSpPr>
      <xdr:spPr>
        <a:xfrm>
          <a:off x="8201024" y="6400800"/>
          <a:ext cx="923926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17</xdr:col>
      <xdr:colOff>149225</xdr:colOff>
      <xdr:row>55</xdr:row>
      <xdr:rowOff>85724</xdr:rowOff>
    </xdr:from>
    <xdr:to>
      <xdr:col>17</xdr:col>
      <xdr:colOff>393337</xdr:colOff>
      <xdr:row>56</xdr:row>
      <xdr:rowOff>161924</xdr:rowOff>
    </xdr:to>
    <xdr:sp macro="" textlink="">
      <xdr:nvSpPr>
        <xdr:cNvPr id="13" name="Flèche vers le haut 12">
          <a:extLst>
            <a:ext uri="{FF2B5EF4-FFF2-40B4-BE49-F238E27FC236}">
              <a16:creationId xmlns:a16="http://schemas.microsoft.com/office/drawing/2014/main" id="{BA84F3FB-6299-B110-C181-E3A0775435CD}"/>
            </a:ext>
          </a:extLst>
        </xdr:cNvPr>
        <xdr:cNvSpPr/>
      </xdr:nvSpPr>
      <xdr:spPr>
        <a:xfrm>
          <a:off x="8486775" y="6000749"/>
          <a:ext cx="257175" cy="314325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346075</xdr:colOff>
      <xdr:row>56</xdr:row>
      <xdr:rowOff>0</xdr:rowOff>
    </xdr:from>
    <xdr:to>
      <xdr:col>17</xdr:col>
      <xdr:colOff>215882</xdr:colOff>
      <xdr:row>57</xdr:row>
      <xdr:rowOff>9524</xdr:rowOff>
    </xdr:to>
    <xdr:sp macro="" textlink="">
      <xdr:nvSpPr>
        <xdr:cNvPr id="14" name="Flèche gauche 13">
          <a:extLst>
            <a:ext uri="{FF2B5EF4-FFF2-40B4-BE49-F238E27FC236}">
              <a16:creationId xmlns:a16="http://schemas.microsoft.com/office/drawing/2014/main" id="{71A5C89B-9D61-F728-48EC-539F0781EBCF}"/>
            </a:ext>
          </a:extLst>
        </xdr:cNvPr>
        <xdr:cNvSpPr/>
      </xdr:nvSpPr>
      <xdr:spPr>
        <a:xfrm>
          <a:off x="8220075" y="6143625"/>
          <a:ext cx="352424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117475</xdr:colOff>
      <xdr:row>55</xdr:row>
      <xdr:rowOff>104776</xdr:rowOff>
    </xdr:from>
    <xdr:to>
      <xdr:col>7</xdr:col>
      <xdr:colOff>387509</xdr:colOff>
      <xdr:row>57</xdr:row>
      <xdr:rowOff>114300</xdr:rowOff>
    </xdr:to>
    <xdr:sp macro="" textlink="">
      <xdr:nvSpPr>
        <xdr:cNvPr id="15" name="Flèche vers le haut 14">
          <a:extLst>
            <a:ext uri="{FF2B5EF4-FFF2-40B4-BE49-F238E27FC236}">
              <a16:creationId xmlns:a16="http://schemas.microsoft.com/office/drawing/2014/main" id="{1BB3BA37-95EC-8922-4AAF-C3E971DBF557}"/>
            </a:ext>
          </a:extLst>
        </xdr:cNvPr>
        <xdr:cNvSpPr/>
      </xdr:nvSpPr>
      <xdr:spPr>
        <a:xfrm>
          <a:off x="8934450" y="6019801"/>
          <a:ext cx="257175" cy="485774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6</xdr:col>
      <xdr:colOff>149225</xdr:colOff>
      <xdr:row>55</xdr:row>
      <xdr:rowOff>85724</xdr:rowOff>
    </xdr:from>
    <xdr:to>
      <xdr:col>6</xdr:col>
      <xdr:colOff>393337</xdr:colOff>
      <xdr:row>56</xdr:row>
      <xdr:rowOff>161924</xdr:rowOff>
    </xdr:to>
    <xdr:sp macro="" textlink="">
      <xdr:nvSpPr>
        <xdr:cNvPr id="16" name="Flèche vers le haut 15">
          <a:extLst>
            <a:ext uri="{FF2B5EF4-FFF2-40B4-BE49-F238E27FC236}">
              <a16:creationId xmlns:a16="http://schemas.microsoft.com/office/drawing/2014/main" id="{9E19B866-0037-505F-70D8-5C2D934BD809}"/>
            </a:ext>
          </a:extLst>
        </xdr:cNvPr>
        <xdr:cNvSpPr/>
      </xdr:nvSpPr>
      <xdr:spPr>
        <a:xfrm>
          <a:off x="8486775" y="6000749"/>
          <a:ext cx="257175" cy="314325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346075</xdr:colOff>
      <xdr:row>56</xdr:row>
      <xdr:rowOff>0</xdr:rowOff>
    </xdr:from>
    <xdr:to>
      <xdr:col>6</xdr:col>
      <xdr:colOff>228812</xdr:colOff>
      <xdr:row>57</xdr:row>
      <xdr:rowOff>9524</xdr:rowOff>
    </xdr:to>
    <xdr:sp macro="" textlink="">
      <xdr:nvSpPr>
        <xdr:cNvPr id="17" name="Flèche gauche 16">
          <a:extLst>
            <a:ext uri="{FF2B5EF4-FFF2-40B4-BE49-F238E27FC236}">
              <a16:creationId xmlns:a16="http://schemas.microsoft.com/office/drawing/2014/main" id="{844AB4F0-6657-17D8-55BF-69B9F6FFFDB0}"/>
            </a:ext>
          </a:extLst>
        </xdr:cNvPr>
        <xdr:cNvSpPr/>
      </xdr:nvSpPr>
      <xdr:spPr>
        <a:xfrm>
          <a:off x="8220075" y="6143625"/>
          <a:ext cx="352424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346074</xdr:colOff>
      <xdr:row>57</xdr:row>
      <xdr:rowOff>6350</xdr:rowOff>
    </xdr:from>
    <xdr:to>
      <xdr:col>7</xdr:col>
      <xdr:colOff>317500</xdr:colOff>
      <xdr:row>58</xdr:row>
      <xdr:rowOff>38433</xdr:rowOff>
    </xdr:to>
    <xdr:sp macro="" textlink="">
      <xdr:nvSpPr>
        <xdr:cNvPr id="18" name="Flèche gauche 17">
          <a:extLst>
            <a:ext uri="{FF2B5EF4-FFF2-40B4-BE49-F238E27FC236}">
              <a16:creationId xmlns:a16="http://schemas.microsoft.com/office/drawing/2014/main" id="{8CF72B95-B00D-191A-CF29-37CF482757AE}"/>
            </a:ext>
          </a:extLst>
        </xdr:cNvPr>
        <xdr:cNvSpPr/>
      </xdr:nvSpPr>
      <xdr:spPr>
        <a:xfrm>
          <a:off x="2971799" y="6410325"/>
          <a:ext cx="914401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314325</xdr:colOff>
      <xdr:row>58</xdr:row>
      <xdr:rowOff>6350</xdr:rowOff>
    </xdr:from>
    <xdr:to>
      <xdr:col>8</xdr:col>
      <xdr:colOff>317629</xdr:colOff>
      <xdr:row>59</xdr:row>
      <xdr:rowOff>38433</xdr:rowOff>
    </xdr:to>
    <xdr:sp macro="" textlink="">
      <xdr:nvSpPr>
        <xdr:cNvPr id="19" name="Flèche gauche 18">
          <a:extLst>
            <a:ext uri="{FF2B5EF4-FFF2-40B4-BE49-F238E27FC236}">
              <a16:creationId xmlns:a16="http://schemas.microsoft.com/office/drawing/2014/main" id="{263E1DE1-16FD-E067-EAB7-5364928E4F35}"/>
            </a:ext>
          </a:extLst>
        </xdr:cNvPr>
        <xdr:cNvSpPr/>
      </xdr:nvSpPr>
      <xdr:spPr>
        <a:xfrm>
          <a:off x="2952750" y="6648450"/>
          <a:ext cx="1409700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79375</xdr:colOff>
      <xdr:row>55</xdr:row>
      <xdr:rowOff>82550</xdr:rowOff>
    </xdr:from>
    <xdr:to>
      <xdr:col>8</xdr:col>
      <xdr:colOff>345551</xdr:colOff>
      <xdr:row>58</xdr:row>
      <xdr:rowOff>104951</xdr:rowOff>
    </xdr:to>
    <xdr:sp macro="" textlink="">
      <xdr:nvSpPr>
        <xdr:cNvPr id="20" name="Flèche vers le haut 19">
          <a:extLst>
            <a:ext uri="{FF2B5EF4-FFF2-40B4-BE49-F238E27FC236}">
              <a16:creationId xmlns:a16="http://schemas.microsoft.com/office/drawing/2014/main" id="{EE846329-1DF8-9070-5671-BF4D8E3ABA9B}"/>
            </a:ext>
          </a:extLst>
        </xdr:cNvPr>
        <xdr:cNvSpPr/>
      </xdr:nvSpPr>
      <xdr:spPr>
        <a:xfrm>
          <a:off x="4143375" y="6010275"/>
          <a:ext cx="257175" cy="723900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384173</xdr:colOff>
      <xdr:row>55</xdr:row>
      <xdr:rowOff>0</xdr:rowOff>
    </xdr:from>
    <xdr:to>
      <xdr:col>6</xdr:col>
      <xdr:colOff>84352</xdr:colOff>
      <xdr:row>56</xdr:row>
      <xdr:rowOff>9525</xdr:rowOff>
    </xdr:to>
    <xdr:sp macro="" textlink="">
      <xdr:nvSpPr>
        <xdr:cNvPr id="22" name="Flèche vers le haut 21">
          <a:extLst>
            <a:ext uri="{FF2B5EF4-FFF2-40B4-BE49-F238E27FC236}">
              <a16:creationId xmlns:a16="http://schemas.microsoft.com/office/drawing/2014/main" id="{06EC91AB-7073-BDDD-7CAF-7242F6FB7419}"/>
            </a:ext>
          </a:extLst>
        </xdr:cNvPr>
        <xdr:cNvSpPr/>
      </xdr:nvSpPr>
      <xdr:spPr>
        <a:xfrm rot="16200000">
          <a:off x="3245641" y="9717882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314326</xdr:colOff>
      <xdr:row>55</xdr:row>
      <xdr:rowOff>9525</xdr:rowOff>
    </xdr:from>
    <xdr:to>
      <xdr:col>17</xdr:col>
      <xdr:colOff>94268</xdr:colOff>
      <xdr:row>56</xdr:row>
      <xdr:rowOff>28575</xdr:rowOff>
    </xdr:to>
    <xdr:sp macro="" textlink="">
      <xdr:nvSpPr>
        <xdr:cNvPr id="23" name="Flèche vers le haut 22">
          <a:extLst>
            <a:ext uri="{FF2B5EF4-FFF2-40B4-BE49-F238E27FC236}">
              <a16:creationId xmlns:a16="http://schemas.microsoft.com/office/drawing/2014/main" id="{9427F6E9-CA9C-A269-8471-140668B06BAA}"/>
            </a:ext>
          </a:extLst>
        </xdr:cNvPr>
        <xdr:cNvSpPr/>
      </xdr:nvSpPr>
      <xdr:spPr>
        <a:xfrm rot="16200000">
          <a:off x="8674894" y="9736932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415925</xdr:colOff>
      <xdr:row>55</xdr:row>
      <xdr:rowOff>6352</xdr:rowOff>
    </xdr:from>
    <xdr:to>
      <xdr:col>20</xdr:col>
      <xdr:colOff>180134</xdr:colOff>
      <xdr:row>56</xdr:row>
      <xdr:rowOff>38436</xdr:rowOff>
    </xdr:to>
    <xdr:sp macro="" textlink="">
      <xdr:nvSpPr>
        <xdr:cNvPr id="24" name="Flèche vers le haut 23">
          <a:extLst>
            <a:ext uri="{FF2B5EF4-FFF2-40B4-BE49-F238E27FC236}">
              <a16:creationId xmlns:a16="http://schemas.microsoft.com/office/drawing/2014/main" id="{473047C2-484F-1A7E-258F-EBE69527401C}"/>
            </a:ext>
          </a:extLst>
        </xdr:cNvPr>
        <xdr:cNvSpPr/>
      </xdr:nvSpPr>
      <xdr:spPr>
        <a:xfrm rot="5400000">
          <a:off x="10303668" y="9746459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346075</xdr:colOff>
      <xdr:row>59</xdr:row>
      <xdr:rowOff>0</xdr:rowOff>
    </xdr:from>
    <xdr:to>
      <xdr:col>19</xdr:col>
      <xdr:colOff>317500</xdr:colOff>
      <xdr:row>60</xdr:row>
      <xdr:rowOff>9524</xdr:rowOff>
    </xdr:to>
    <xdr:sp macro="" textlink="">
      <xdr:nvSpPr>
        <xdr:cNvPr id="25" name="Flèche gauche 24">
          <a:extLst>
            <a:ext uri="{FF2B5EF4-FFF2-40B4-BE49-F238E27FC236}">
              <a16:creationId xmlns:a16="http://schemas.microsoft.com/office/drawing/2014/main" id="{D40BBAF7-317C-5C89-A524-A179FA68FE8A}"/>
            </a:ext>
          </a:extLst>
        </xdr:cNvPr>
        <xdr:cNvSpPr/>
      </xdr:nvSpPr>
      <xdr:spPr>
        <a:xfrm>
          <a:off x="8696325" y="10668000"/>
          <a:ext cx="1504950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346075</xdr:colOff>
      <xdr:row>59</xdr:row>
      <xdr:rowOff>0</xdr:rowOff>
    </xdr:from>
    <xdr:to>
      <xdr:col>8</xdr:col>
      <xdr:colOff>346075</xdr:colOff>
      <xdr:row>60</xdr:row>
      <xdr:rowOff>6667</xdr:rowOff>
    </xdr:to>
    <xdr:sp macro="" textlink="">
      <xdr:nvSpPr>
        <xdr:cNvPr id="26" name="Flèche gauche 25">
          <a:extLst>
            <a:ext uri="{FF2B5EF4-FFF2-40B4-BE49-F238E27FC236}">
              <a16:creationId xmlns:a16="http://schemas.microsoft.com/office/drawing/2014/main" id="{CE232EB8-EA73-FC03-FA6A-10FD99FFBF10}"/>
            </a:ext>
          </a:extLst>
        </xdr:cNvPr>
        <xdr:cNvSpPr/>
      </xdr:nvSpPr>
      <xdr:spPr>
        <a:xfrm>
          <a:off x="3209925" y="10677525"/>
          <a:ext cx="1504950" cy="257174"/>
        </a:xfrm>
        <a:prstGeom prst="left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415925</xdr:colOff>
      <xdr:row>59</xdr:row>
      <xdr:rowOff>9526</xdr:rowOff>
    </xdr:from>
    <xdr:to>
      <xdr:col>20</xdr:col>
      <xdr:colOff>180134</xdr:colOff>
      <xdr:row>60</xdr:row>
      <xdr:rowOff>28576</xdr:rowOff>
    </xdr:to>
    <xdr:sp macro="" textlink="">
      <xdr:nvSpPr>
        <xdr:cNvPr id="28" name="Flèche vers le haut 27">
          <a:extLst>
            <a:ext uri="{FF2B5EF4-FFF2-40B4-BE49-F238E27FC236}">
              <a16:creationId xmlns:a16="http://schemas.microsoft.com/office/drawing/2014/main" id="{AA27F0EC-1C1F-4F5A-EB5D-D5E38C3513EF}"/>
            </a:ext>
          </a:extLst>
        </xdr:cNvPr>
        <xdr:cNvSpPr/>
      </xdr:nvSpPr>
      <xdr:spPr>
        <a:xfrm rot="5400000">
          <a:off x="10303668" y="10689433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384175</xdr:colOff>
      <xdr:row>56</xdr:row>
      <xdr:rowOff>3</xdr:rowOff>
    </xdr:from>
    <xdr:to>
      <xdr:col>20</xdr:col>
      <xdr:colOff>164117</xdr:colOff>
      <xdr:row>57</xdr:row>
      <xdr:rowOff>9528</xdr:rowOff>
    </xdr:to>
    <xdr:sp macro="" textlink="">
      <xdr:nvSpPr>
        <xdr:cNvPr id="29" name="Flèche vers le haut 28">
          <a:extLst>
            <a:ext uri="{FF2B5EF4-FFF2-40B4-BE49-F238E27FC236}">
              <a16:creationId xmlns:a16="http://schemas.microsoft.com/office/drawing/2014/main" id="{8B5ED0EF-0F54-20C3-BDE8-8F3F2B94E0C9}"/>
            </a:ext>
          </a:extLst>
        </xdr:cNvPr>
        <xdr:cNvSpPr/>
      </xdr:nvSpPr>
      <xdr:spPr>
        <a:xfrm rot="5400000">
          <a:off x="10284618" y="9956010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393700</xdr:colOff>
      <xdr:row>57</xdr:row>
      <xdr:rowOff>3</xdr:rowOff>
    </xdr:from>
    <xdr:to>
      <xdr:col>20</xdr:col>
      <xdr:colOff>160338</xdr:colOff>
      <xdr:row>58</xdr:row>
      <xdr:rowOff>6671</xdr:rowOff>
    </xdr:to>
    <xdr:sp macro="" textlink="">
      <xdr:nvSpPr>
        <xdr:cNvPr id="30" name="Flèche vers le haut 29">
          <a:extLst>
            <a:ext uri="{FF2B5EF4-FFF2-40B4-BE49-F238E27FC236}">
              <a16:creationId xmlns:a16="http://schemas.microsoft.com/office/drawing/2014/main" id="{81826A83-14F3-B09B-3C5A-D57D012AED26}"/>
            </a:ext>
          </a:extLst>
        </xdr:cNvPr>
        <xdr:cNvSpPr/>
      </xdr:nvSpPr>
      <xdr:spPr>
        <a:xfrm rot="5400000">
          <a:off x="10294143" y="10203660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393700</xdr:colOff>
      <xdr:row>58</xdr:row>
      <xdr:rowOff>3</xdr:rowOff>
    </xdr:from>
    <xdr:to>
      <xdr:col>20</xdr:col>
      <xdr:colOff>160338</xdr:colOff>
      <xdr:row>59</xdr:row>
      <xdr:rowOff>6671</xdr:rowOff>
    </xdr:to>
    <xdr:sp macro="" textlink="">
      <xdr:nvSpPr>
        <xdr:cNvPr id="31" name="Flèche vers le haut 30">
          <a:extLst>
            <a:ext uri="{FF2B5EF4-FFF2-40B4-BE49-F238E27FC236}">
              <a16:creationId xmlns:a16="http://schemas.microsoft.com/office/drawing/2014/main" id="{0AD19C50-61B6-9103-5871-9E3055C77993}"/>
            </a:ext>
          </a:extLst>
        </xdr:cNvPr>
        <xdr:cNvSpPr/>
      </xdr:nvSpPr>
      <xdr:spPr>
        <a:xfrm rot="5400000">
          <a:off x="10294143" y="10441785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393700</xdr:colOff>
      <xdr:row>55</xdr:row>
      <xdr:rowOff>3</xdr:rowOff>
    </xdr:from>
    <xdr:to>
      <xdr:col>9</xdr:col>
      <xdr:colOff>170053</xdr:colOff>
      <xdr:row>56</xdr:row>
      <xdr:rowOff>6671</xdr:rowOff>
    </xdr:to>
    <xdr:sp macro="" textlink="">
      <xdr:nvSpPr>
        <xdr:cNvPr id="33" name="Flèche vers le haut 32">
          <a:extLst>
            <a:ext uri="{FF2B5EF4-FFF2-40B4-BE49-F238E27FC236}">
              <a16:creationId xmlns:a16="http://schemas.microsoft.com/office/drawing/2014/main" id="{498A0CBE-622F-BFF7-E402-595108FAA622}"/>
            </a:ext>
          </a:extLst>
        </xdr:cNvPr>
        <xdr:cNvSpPr/>
      </xdr:nvSpPr>
      <xdr:spPr>
        <a:xfrm rot="5400000">
          <a:off x="4760118" y="9727410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393700</xdr:colOff>
      <xdr:row>59</xdr:row>
      <xdr:rowOff>2</xdr:rowOff>
    </xdr:from>
    <xdr:to>
      <xdr:col>9</xdr:col>
      <xdr:colOff>170053</xdr:colOff>
      <xdr:row>60</xdr:row>
      <xdr:rowOff>9527</xdr:rowOff>
    </xdr:to>
    <xdr:sp macro="" textlink="">
      <xdr:nvSpPr>
        <xdr:cNvPr id="34" name="Flèche vers le haut 33">
          <a:extLst>
            <a:ext uri="{FF2B5EF4-FFF2-40B4-BE49-F238E27FC236}">
              <a16:creationId xmlns:a16="http://schemas.microsoft.com/office/drawing/2014/main" id="{7715C8FA-8D63-88E0-E5BD-9630499CACBB}"/>
            </a:ext>
          </a:extLst>
        </xdr:cNvPr>
        <xdr:cNvSpPr/>
      </xdr:nvSpPr>
      <xdr:spPr>
        <a:xfrm rot="5400000">
          <a:off x="4760118" y="10670384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384175</xdr:colOff>
      <xdr:row>55</xdr:row>
      <xdr:rowOff>196854</xdr:rowOff>
    </xdr:from>
    <xdr:to>
      <xdr:col>9</xdr:col>
      <xdr:colOff>153442</xdr:colOff>
      <xdr:row>57</xdr:row>
      <xdr:rowOff>338</xdr:rowOff>
    </xdr:to>
    <xdr:sp macro="" textlink="">
      <xdr:nvSpPr>
        <xdr:cNvPr id="35" name="Flèche vers le haut 34">
          <a:extLst>
            <a:ext uri="{FF2B5EF4-FFF2-40B4-BE49-F238E27FC236}">
              <a16:creationId xmlns:a16="http://schemas.microsoft.com/office/drawing/2014/main" id="{97742873-8B10-6DA4-2782-3851DC07FC40}"/>
            </a:ext>
          </a:extLst>
        </xdr:cNvPr>
        <xdr:cNvSpPr/>
      </xdr:nvSpPr>
      <xdr:spPr>
        <a:xfrm rot="5400000">
          <a:off x="4741068" y="9936961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384175</xdr:colOff>
      <xdr:row>56</xdr:row>
      <xdr:rowOff>219079</xdr:rowOff>
    </xdr:from>
    <xdr:to>
      <xdr:col>9</xdr:col>
      <xdr:colOff>173970</xdr:colOff>
      <xdr:row>58</xdr:row>
      <xdr:rowOff>4</xdr:rowOff>
    </xdr:to>
    <xdr:sp macro="" textlink="">
      <xdr:nvSpPr>
        <xdr:cNvPr id="36" name="Flèche vers le haut 35">
          <a:extLst>
            <a:ext uri="{FF2B5EF4-FFF2-40B4-BE49-F238E27FC236}">
              <a16:creationId xmlns:a16="http://schemas.microsoft.com/office/drawing/2014/main" id="{9A0129CF-9E24-7627-C597-EC6BF4A22DB9}"/>
            </a:ext>
          </a:extLst>
        </xdr:cNvPr>
        <xdr:cNvSpPr/>
      </xdr:nvSpPr>
      <xdr:spPr>
        <a:xfrm rot="5400000">
          <a:off x="4750593" y="10184611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384175</xdr:colOff>
      <xdr:row>57</xdr:row>
      <xdr:rowOff>219079</xdr:rowOff>
    </xdr:from>
    <xdr:to>
      <xdr:col>9</xdr:col>
      <xdr:colOff>173970</xdr:colOff>
      <xdr:row>59</xdr:row>
      <xdr:rowOff>4</xdr:rowOff>
    </xdr:to>
    <xdr:sp macro="" textlink="">
      <xdr:nvSpPr>
        <xdr:cNvPr id="37" name="Flèche vers le haut 36">
          <a:extLst>
            <a:ext uri="{FF2B5EF4-FFF2-40B4-BE49-F238E27FC236}">
              <a16:creationId xmlns:a16="http://schemas.microsoft.com/office/drawing/2014/main" id="{E3630BFA-8939-956E-75FB-D4E31C72D04A}"/>
            </a:ext>
          </a:extLst>
        </xdr:cNvPr>
        <xdr:cNvSpPr/>
      </xdr:nvSpPr>
      <xdr:spPr>
        <a:xfrm rot="5400000">
          <a:off x="4750593" y="10422736"/>
          <a:ext cx="257175" cy="252412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127000</xdr:colOff>
      <xdr:row>56</xdr:row>
      <xdr:rowOff>82550</xdr:rowOff>
    </xdr:from>
    <xdr:to>
      <xdr:col>19</xdr:col>
      <xdr:colOff>384590</xdr:colOff>
      <xdr:row>59</xdr:row>
      <xdr:rowOff>47689</xdr:rowOff>
    </xdr:to>
    <xdr:sp macro="" textlink="">
      <xdr:nvSpPr>
        <xdr:cNvPr id="2" name="Flèche vers le haut 1">
          <a:extLst>
            <a:ext uri="{FF2B5EF4-FFF2-40B4-BE49-F238E27FC236}">
              <a16:creationId xmlns:a16="http://schemas.microsoft.com/office/drawing/2014/main" id="{3CE71CE2-75E8-308D-B8DD-476663AB8FC6}"/>
            </a:ext>
          </a:extLst>
        </xdr:cNvPr>
        <xdr:cNvSpPr/>
      </xdr:nvSpPr>
      <xdr:spPr>
        <a:xfrm>
          <a:off x="10029825" y="8667750"/>
          <a:ext cx="257175" cy="666750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117475</xdr:colOff>
      <xdr:row>56</xdr:row>
      <xdr:rowOff>82550</xdr:rowOff>
    </xdr:from>
    <xdr:to>
      <xdr:col>8</xdr:col>
      <xdr:colOff>375065</xdr:colOff>
      <xdr:row>59</xdr:row>
      <xdr:rowOff>44450</xdr:rowOff>
    </xdr:to>
    <xdr:sp macro="" textlink="">
      <xdr:nvSpPr>
        <xdr:cNvPr id="13" name="Flèche vers le haut 12">
          <a:extLst>
            <a:ext uri="{FF2B5EF4-FFF2-40B4-BE49-F238E27FC236}">
              <a16:creationId xmlns:a16="http://schemas.microsoft.com/office/drawing/2014/main" id="{D8732C45-CAB1-3237-2F99-1C1C56137D69}"/>
            </a:ext>
          </a:extLst>
        </xdr:cNvPr>
        <xdr:cNvSpPr/>
      </xdr:nvSpPr>
      <xdr:spPr>
        <a:xfrm>
          <a:off x="4476750" y="8667750"/>
          <a:ext cx="257175" cy="676275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457203</xdr:colOff>
      <xdr:row>56</xdr:row>
      <xdr:rowOff>82551</xdr:rowOff>
    </xdr:from>
    <xdr:to>
      <xdr:col>8</xdr:col>
      <xdr:colOff>89079</xdr:colOff>
      <xdr:row>60</xdr:row>
      <xdr:rowOff>185920</xdr:rowOff>
    </xdr:to>
    <xdr:sp macro="" textlink="">
      <xdr:nvSpPr>
        <xdr:cNvPr id="19" name="Flèche vers le haut 18">
          <a:extLst>
            <a:ext uri="{FF2B5EF4-FFF2-40B4-BE49-F238E27FC236}">
              <a16:creationId xmlns:a16="http://schemas.microsoft.com/office/drawing/2014/main" id="{D47DBF3A-F34F-2AC9-7084-9CFED3FB9CD9}"/>
            </a:ext>
          </a:extLst>
        </xdr:cNvPr>
        <xdr:cNvSpPr/>
      </xdr:nvSpPr>
      <xdr:spPr>
        <a:xfrm rot="16200000">
          <a:off x="3359946" y="8612983"/>
          <a:ext cx="1042986" cy="1152521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415929</xdr:colOff>
      <xdr:row>56</xdr:row>
      <xdr:rowOff>76200</xdr:rowOff>
    </xdr:from>
    <xdr:to>
      <xdr:col>19</xdr:col>
      <xdr:colOff>69718</xdr:colOff>
      <xdr:row>60</xdr:row>
      <xdr:rowOff>166686</xdr:rowOff>
    </xdr:to>
    <xdr:sp macro="" textlink="">
      <xdr:nvSpPr>
        <xdr:cNvPr id="20" name="Flèche vers le haut 19">
          <a:extLst>
            <a:ext uri="{FF2B5EF4-FFF2-40B4-BE49-F238E27FC236}">
              <a16:creationId xmlns:a16="http://schemas.microsoft.com/office/drawing/2014/main" id="{8DAA1F62-67CE-83C3-3D9B-A21E8B6192EA}"/>
            </a:ext>
          </a:extLst>
        </xdr:cNvPr>
        <xdr:cNvSpPr/>
      </xdr:nvSpPr>
      <xdr:spPr>
        <a:xfrm rot="16200000">
          <a:off x="8841584" y="8570120"/>
          <a:ext cx="1042986" cy="1200146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88898</xdr:colOff>
      <xdr:row>59</xdr:row>
      <xdr:rowOff>200024</xdr:rowOff>
    </xdr:from>
    <xdr:to>
      <xdr:col>8</xdr:col>
      <xdr:colOff>347680</xdr:colOff>
      <xdr:row>60</xdr:row>
      <xdr:rowOff>142874</xdr:rowOff>
    </xdr:to>
    <xdr:sp macro="" textlink="">
      <xdr:nvSpPr>
        <xdr:cNvPr id="21" name="Flèche vers le haut 20">
          <a:extLst>
            <a:ext uri="{FF2B5EF4-FFF2-40B4-BE49-F238E27FC236}">
              <a16:creationId xmlns:a16="http://schemas.microsoft.com/office/drawing/2014/main" id="{501F784F-3AEE-B906-ACF3-9E8DBC667C9F}"/>
            </a:ext>
          </a:extLst>
        </xdr:cNvPr>
        <xdr:cNvSpPr/>
      </xdr:nvSpPr>
      <xdr:spPr>
        <a:xfrm rot="10800000">
          <a:off x="4457698" y="9486899"/>
          <a:ext cx="257175" cy="180975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149221</xdr:colOff>
      <xdr:row>59</xdr:row>
      <xdr:rowOff>161925</xdr:rowOff>
    </xdr:from>
    <xdr:to>
      <xdr:col>19</xdr:col>
      <xdr:colOff>393333</xdr:colOff>
      <xdr:row>60</xdr:row>
      <xdr:rowOff>161924</xdr:rowOff>
    </xdr:to>
    <xdr:sp macro="" textlink="">
      <xdr:nvSpPr>
        <xdr:cNvPr id="22" name="Flèche vers le haut 21">
          <a:extLst>
            <a:ext uri="{FF2B5EF4-FFF2-40B4-BE49-F238E27FC236}">
              <a16:creationId xmlns:a16="http://schemas.microsoft.com/office/drawing/2014/main" id="{6D02CAC0-4B0C-BC20-9CA3-3B3AEEC137AD}"/>
            </a:ext>
          </a:extLst>
        </xdr:cNvPr>
        <xdr:cNvSpPr/>
      </xdr:nvSpPr>
      <xdr:spPr>
        <a:xfrm rot="10800000">
          <a:off x="10039346" y="9448800"/>
          <a:ext cx="257175" cy="238124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415924</xdr:colOff>
      <xdr:row>56</xdr:row>
      <xdr:rowOff>38101</xdr:rowOff>
    </xdr:from>
    <xdr:to>
      <xdr:col>20</xdr:col>
      <xdr:colOff>228827</xdr:colOff>
      <xdr:row>60</xdr:row>
      <xdr:rowOff>128587</xdr:rowOff>
    </xdr:to>
    <xdr:sp macro="" textlink="">
      <xdr:nvSpPr>
        <xdr:cNvPr id="23" name="Flèche vers le haut 22">
          <a:extLst>
            <a:ext uri="{FF2B5EF4-FFF2-40B4-BE49-F238E27FC236}">
              <a16:creationId xmlns:a16="http://schemas.microsoft.com/office/drawing/2014/main" id="{17462B88-BAD7-F69B-FD2A-C01A9860A67E}"/>
            </a:ext>
          </a:extLst>
        </xdr:cNvPr>
        <xdr:cNvSpPr/>
      </xdr:nvSpPr>
      <xdr:spPr>
        <a:xfrm rot="5400000">
          <a:off x="9936957" y="8989218"/>
          <a:ext cx="1042986" cy="285751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393699</xdr:colOff>
      <xdr:row>56</xdr:row>
      <xdr:rowOff>76201</xdr:rowOff>
    </xdr:from>
    <xdr:to>
      <xdr:col>9</xdr:col>
      <xdr:colOff>205670</xdr:colOff>
      <xdr:row>60</xdr:row>
      <xdr:rowOff>166687</xdr:rowOff>
    </xdr:to>
    <xdr:sp macro="" textlink="">
      <xdr:nvSpPr>
        <xdr:cNvPr id="24" name="Flèche vers le haut 23">
          <a:extLst>
            <a:ext uri="{FF2B5EF4-FFF2-40B4-BE49-F238E27FC236}">
              <a16:creationId xmlns:a16="http://schemas.microsoft.com/office/drawing/2014/main" id="{57D3DF63-9B8A-DFB8-5BE4-1901FC26BF46}"/>
            </a:ext>
          </a:extLst>
        </xdr:cNvPr>
        <xdr:cNvSpPr/>
      </xdr:nvSpPr>
      <xdr:spPr>
        <a:xfrm rot="5400000">
          <a:off x="4383882" y="9027318"/>
          <a:ext cx="1042986" cy="285751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127000</xdr:colOff>
      <xdr:row>56</xdr:row>
      <xdr:rowOff>82550</xdr:rowOff>
    </xdr:from>
    <xdr:to>
      <xdr:col>19</xdr:col>
      <xdr:colOff>384590</xdr:colOff>
      <xdr:row>59</xdr:row>
      <xdr:rowOff>47689</xdr:rowOff>
    </xdr:to>
    <xdr:sp macro="" textlink="">
      <xdr:nvSpPr>
        <xdr:cNvPr id="10" name="Flèche vers le haut 9">
          <a:extLst>
            <a:ext uri="{FF2B5EF4-FFF2-40B4-BE49-F238E27FC236}">
              <a16:creationId xmlns:a16="http://schemas.microsoft.com/office/drawing/2014/main" id="{2DB8E138-51CB-355C-1D9B-3574B29FDC22}"/>
            </a:ext>
          </a:extLst>
        </xdr:cNvPr>
        <xdr:cNvSpPr/>
      </xdr:nvSpPr>
      <xdr:spPr>
        <a:xfrm>
          <a:off x="10020300" y="9867900"/>
          <a:ext cx="257175" cy="666750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117475</xdr:colOff>
      <xdr:row>56</xdr:row>
      <xdr:rowOff>82550</xdr:rowOff>
    </xdr:from>
    <xdr:to>
      <xdr:col>8</xdr:col>
      <xdr:colOff>375065</xdr:colOff>
      <xdr:row>59</xdr:row>
      <xdr:rowOff>44450</xdr:rowOff>
    </xdr:to>
    <xdr:sp macro="" textlink="">
      <xdr:nvSpPr>
        <xdr:cNvPr id="11" name="Flèche vers le haut 10">
          <a:extLst>
            <a:ext uri="{FF2B5EF4-FFF2-40B4-BE49-F238E27FC236}">
              <a16:creationId xmlns:a16="http://schemas.microsoft.com/office/drawing/2014/main" id="{DBDA9901-769B-2B04-F971-D0FD4F1063CA}"/>
            </a:ext>
          </a:extLst>
        </xdr:cNvPr>
        <xdr:cNvSpPr/>
      </xdr:nvSpPr>
      <xdr:spPr>
        <a:xfrm>
          <a:off x="4476750" y="9867900"/>
          <a:ext cx="257175" cy="676275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457203</xdr:colOff>
      <xdr:row>56</xdr:row>
      <xdr:rowOff>82551</xdr:rowOff>
    </xdr:from>
    <xdr:to>
      <xdr:col>8</xdr:col>
      <xdr:colOff>89079</xdr:colOff>
      <xdr:row>60</xdr:row>
      <xdr:rowOff>185920</xdr:rowOff>
    </xdr:to>
    <xdr:sp macro="" textlink="">
      <xdr:nvSpPr>
        <xdr:cNvPr id="12" name="Flèche vers le haut 11">
          <a:extLst>
            <a:ext uri="{FF2B5EF4-FFF2-40B4-BE49-F238E27FC236}">
              <a16:creationId xmlns:a16="http://schemas.microsoft.com/office/drawing/2014/main" id="{7927915C-5794-8B9E-9D4E-D369E81D9AF9}"/>
            </a:ext>
          </a:extLst>
        </xdr:cNvPr>
        <xdr:cNvSpPr/>
      </xdr:nvSpPr>
      <xdr:spPr>
        <a:xfrm rot="16200000">
          <a:off x="3359946" y="9813133"/>
          <a:ext cx="1042986" cy="1152521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16</xdr:col>
      <xdr:colOff>415929</xdr:colOff>
      <xdr:row>56</xdr:row>
      <xdr:rowOff>76200</xdr:rowOff>
    </xdr:from>
    <xdr:to>
      <xdr:col>19</xdr:col>
      <xdr:colOff>69718</xdr:colOff>
      <xdr:row>60</xdr:row>
      <xdr:rowOff>166686</xdr:rowOff>
    </xdr:to>
    <xdr:sp macro="" textlink="">
      <xdr:nvSpPr>
        <xdr:cNvPr id="14" name="Flèche vers le haut 13">
          <a:extLst>
            <a:ext uri="{FF2B5EF4-FFF2-40B4-BE49-F238E27FC236}">
              <a16:creationId xmlns:a16="http://schemas.microsoft.com/office/drawing/2014/main" id="{FF9C99A8-02A6-672B-7C51-284418DFB2EC}"/>
            </a:ext>
          </a:extLst>
        </xdr:cNvPr>
        <xdr:cNvSpPr/>
      </xdr:nvSpPr>
      <xdr:spPr>
        <a:xfrm rot="16200000">
          <a:off x="8832059" y="9770270"/>
          <a:ext cx="1042986" cy="1200146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88898</xdr:colOff>
      <xdr:row>59</xdr:row>
      <xdr:rowOff>200024</xdr:rowOff>
    </xdr:from>
    <xdr:to>
      <xdr:col>8</xdr:col>
      <xdr:colOff>347680</xdr:colOff>
      <xdr:row>60</xdr:row>
      <xdr:rowOff>142874</xdr:rowOff>
    </xdr:to>
    <xdr:sp macro="" textlink="">
      <xdr:nvSpPr>
        <xdr:cNvPr id="15" name="Flèche vers le haut 14">
          <a:extLst>
            <a:ext uri="{FF2B5EF4-FFF2-40B4-BE49-F238E27FC236}">
              <a16:creationId xmlns:a16="http://schemas.microsoft.com/office/drawing/2014/main" id="{CFB1BC08-4809-985B-39C9-3F5975BEEFC0}"/>
            </a:ext>
          </a:extLst>
        </xdr:cNvPr>
        <xdr:cNvSpPr/>
      </xdr:nvSpPr>
      <xdr:spPr>
        <a:xfrm rot="10800000">
          <a:off x="4457698" y="10687049"/>
          <a:ext cx="257175" cy="180975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149221</xdr:colOff>
      <xdr:row>59</xdr:row>
      <xdr:rowOff>161925</xdr:rowOff>
    </xdr:from>
    <xdr:to>
      <xdr:col>19</xdr:col>
      <xdr:colOff>393333</xdr:colOff>
      <xdr:row>60</xdr:row>
      <xdr:rowOff>161924</xdr:rowOff>
    </xdr:to>
    <xdr:sp macro="" textlink="">
      <xdr:nvSpPr>
        <xdr:cNvPr id="16" name="Flèche vers le haut 15">
          <a:extLst>
            <a:ext uri="{FF2B5EF4-FFF2-40B4-BE49-F238E27FC236}">
              <a16:creationId xmlns:a16="http://schemas.microsoft.com/office/drawing/2014/main" id="{3B86F20A-3067-C265-5D03-DDA7AA17C76D}"/>
            </a:ext>
          </a:extLst>
        </xdr:cNvPr>
        <xdr:cNvSpPr/>
      </xdr:nvSpPr>
      <xdr:spPr>
        <a:xfrm rot="10800000">
          <a:off x="10029821" y="10648950"/>
          <a:ext cx="257175" cy="238124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415924</xdr:colOff>
      <xdr:row>56</xdr:row>
      <xdr:rowOff>38101</xdr:rowOff>
    </xdr:from>
    <xdr:to>
      <xdr:col>20</xdr:col>
      <xdr:colOff>228827</xdr:colOff>
      <xdr:row>60</xdr:row>
      <xdr:rowOff>128587</xdr:rowOff>
    </xdr:to>
    <xdr:sp macro="" textlink="">
      <xdr:nvSpPr>
        <xdr:cNvPr id="17" name="Flèche vers le haut 16">
          <a:extLst>
            <a:ext uri="{FF2B5EF4-FFF2-40B4-BE49-F238E27FC236}">
              <a16:creationId xmlns:a16="http://schemas.microsoft.com/office/drawing/2014/main" id="{7B394A99-EEB2-4E45-3687-77D118BF65F0}"/>
            </a:ext>
          </a:extLst>
        </xdr:cNvPr>
        <xdr:cNvSpPr/>
      </xdr:nvSpPr>
      <xdr:spPr>
        <a:xfrm rot="5400000">
          <a:off x="9927432" y="10189368"/>
          <a:ext cx="1042986" cy="285751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8</xdr:col>
      <xdr:colOff>393699</xdr:colOff>
      <xdr:row>56</xdr:row>
      <xdr:rowOff>76201</xdr:rowOff>
    </xdr:from>
    <xdr:to>
      <xdr:col>9</xdr:col>
      <xdr:colOff>205670</xdr:colOff>
      <xdr:row>60</xdr:row>
      <xdr:rowOff>166687</xdr:rowOff>
    </xdr:to>
    <xdr:sp macro="" textlink="">
      <xdr:nvSpPr>
        <xdr:cNvPr id="18" name="Flèche vers le haut 17">
          <a:extLst>
            <a:ext uri="{FF2B5EF4-FFF2-40B4-BE49-F238E27FC236}">
              <a16:creationId xmlns:a16="http://schemas.microsoft.com/office/drawing/2014/main" id="{B1118138-31AF-05B5-BF94-7C8DEBB9AFA9}"/>
            </a:ext>
          </a:extLst>
        </xdr:cNvPr>
        <xdr:cNvSpPr/>
      </xdr:nvSpPr>
      <xdr:spPr>
        <a:xfrm rot="5400000">
          <a:off x="4379119" y="10232231"/>
          <a:ext cx="1042986" cy="276226"/>
        </a:xfrm>
        <a:prstGeom prst="upArrow">
          <a:avLst/>
        </a:prstGeom>
        <a:solidFill>
          <a:srgbClr val="4F81BD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0"/>
  <sheetViews>
    <sheetView tabSelected="1" view="pageBreakPreview" topLeftCell="A73" zoomScale="130" zoomScaleNormal="78" zoomScaleSheetLayoutView="130" workbookViewId="0">
      <selection activeCell="C8" sqref="C8"/>
    </sheetView>
  </sheetViews>
  <sheetFormatPr baseColWidth="10" defaultRowHeight="15" x14ac:dyDescent="0.25"/>
  <cols>
    <col min="1" max="2" width="6.42578125" style="11" customWidth="1"/>
    <col min="3" max="3" width="6" style="11" customWidth="1"/>
    <col min="4" max="4" width="17.140625" style="11" customWidth="1"/>
    <col min="5" max="5" width="12.7109375" style="11" customWidth="1"/>
    <col min="6" max="11" width="11.42578125" style="11" customWidth="1"/>
    <col min="12" max="12" width="5" style="11" customWidth="1"/>
    <col min="13" max="13" width="1" style="11" customWidth="1"/>
    <col min="14" max="14" width="11.42578125" style="11" customWidth="1"/>
    <col min="15" max="15" width="9" style="11" customWidth="1"/>
    <col min="16" max="16" width="3.42578125" style="11" customWidth="1"/>
    <col min="17" max="17" width="11.42578125" style="11" customWidth="1"/>
  </cols>
  <sheetData>
    <row r="1" spans="1:16" ht="51.75" customHeight="1" x14ac:dyDescent="0.3">
      <c r="A1" s="132" t="s">
        <v>198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25"/>
      <c r="P1" s="124"/>
    </row>
    <row r="2" spans="1:16" ht="33.75" customHeight="1" x14ac:dyDescent="0.3">
      <c r="A2" s="134" t="s">
        <v>199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26"/>
      <c r="P2" s="124"/>
    </row>
    <row r="3" spans="1:16" ht="21.75" customHeight="1" thickBot="1" x14ac:dyDescent="0.35">
      <c r="A3" s="127" t="s">
        <v>200</v>
      </c>
      <c r="B3" s="128"/>
      <c r="C3" s="129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30"/>
      <c r="O3" s="131"/>
      <c r="P3" s="124"/>
    </row>
    <row r="4" spans="1:16" ht="15.75" x14ac:dyDescent="0.25">
      <c r="A4" s="6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3"/>
      <c r="O4" s="63"/>
    </row>
    <row r="5" spans="1:16" ht="42.75" customHeight="1" x14ac:dyDescent="0.25">
      <c r="A5" s="61"/>
      <c r="B5" s="152" t="s">
        <v>58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63"/>
      <c r="O5" s="63"/>
    </row>
    <row r="6" spans="1:16" x14ac:dyDescent="0.25">
      <c r="A6" s="61"/>
      <c r="B6" s="45" t="s">
        <v>59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61"/>
      <c r="O6" s="61"/>
    </row>
    <row r="7" spans="1:16" x14ac:dyDescent="0.25">
      <c r="A7" s="61"/>
      <c r="B7" s="37"/>
      <c r="C7" s="49"/>
      <c r="D7" s="49"/>
      <c r="E7" s="49"/>
      <c r="F7" s="49"/>
      <c r="G7" s="49"/>
      <c r="H7" s="49"/>
      <c r="I7" s="49"/>
      <c r="J7" s="49"/>
      <c r="K7" s="49"/>
      <c r="L7" s="49"/>
      <c r="M7" s="39"/>
      <c r="N7" s="61"/>
      <c r="O7" s="61"/>
    </row>
    <row r="8" spans="1:16" x14ac:dyDescent="0.25">
      <c r="A8" s="61"/>
      <c r="B8" s="37"/>
      <c r="C8" s="48" t="s">
        <v>57</v>
      </c>
      <c r="D8" s="49"/>
      <c r="E8" s="49"/>
      <c r="F8" s="48"/>
      <c r="G8" s="49"/>
      <c r="H8" s="49"/>
      <c r="I8" s="49"/>
      <c r="J8" s="49"/>
      <c r="K8" s="49"/>
      <c r="L8" s="49"/>
      <c r="M8" s="39"/>
      <c r="N8" s="61"/>
      <c r="O8" s="61"/>
    </row>
    <row r="9" spans="1:16" ht="15.75" thickBot="1" x14ac:dyDescent="0.3">
      <c r="A9" s="61"/>
      <c r="B9" s="37"/>
      <c r="C9" s="48"/>
      <c r="D9" s="49"/>
      <c r="E9" s="49"/>
      <c r="F9" s="48"/>
      <c r="G9" s="49"/>
      <c r="H9" s="49"/>
      <c r="I9" s="49"/>
      <c r="J9" s="49"/>
      <c r="K9" s="49"/>
      <c r="L9" s="49"/>
      <c r="M9" s="39"/>
      <c r="N9" s="61"/>
      <c r="O9" s="61"/>
    </row>
    <row r="10" spans="1:16" ht="15.75" thickBot="1" x14ac:dyDescent="0.3">
      <c r="A10" s="61"/>
      <c r="B10" s="37"/>
      <c r="C10" s="48"/>
      <c r="D10" s="49"/>
      <c r="E10" s="100" t="s">
        <v>124</v>
      </c>
      <c r="F10" s="153" t="s">
        <v>196</v>
      </c>
      <c r="G10" s="154"/>
      <c r="H10" s="154"/>
      <c r="I10" s="154"/>
      <c r="J10" s="154"/>
      <c r="K10" s="155"/>
      <c r="L10" s="49"/>
      <c r="M10" s="39"/>
      <c r="N10" s="61"/>
      <c r="O10" s="61"/>
    </row>
    <row r="11" spans="1:16" x14ac:dyDescent="0.25">
      <c r="A11" s="61"/>
      <c r="B11" s="37"/>
      <c r="C11" s="48"/>
      <c r="D11" s="49"/>
      <c r="E11" s="100"/>
      <c r="F11" s="100"/>
      <c r="G11" s="100"/>
      <c r="H11" s="100"/>
      <c r="I11" s="100"/>
      <c r="J11" s="100"/>
      <c r="K11" s="100"/>
      <c r="L11" s="49"/>
      <c r="M11" s="39"/>
      <c r="N11" s="61"/>
      <c r="O11" s="61"/>
    </row>
    <row r="12" spans="1:16" ht="15.75" thickBot="1" x14ac:dyDescent="0.3">
      <c r="A12" s="61"/>
      <c r="B12" s="37"/>
      <c r="C12" s="48"/>
      <c r="D12" s="49"/>
      <c r="E12" s="100"/>
      <c r="F12" s="112" t="s">
        <v>143</v>
      </c>
      <c r="G12" s="100"/>
      <c r="H12" s="100"/>
      <c r="I12" s="100"/>
      <c r="J12" s="100"/>
      <c r="K12" s="100"/>
      <c r="L12" s="49"/>
      <c r="M12" s="39"/>
      <c r="N12" s="61"/>
      <c r="O12" s="61"/>
    </row>
    <row r="13" spans="1:16" ht="15.75" thickBot="1" x14ac:dyDescent="0.3">
      <c r="A13" s="61"/>
      <c r="B13" s="37"/>
      <c r="C13" s="48"/>
      <c r="D13" s="49"/>
      <c r="E13" s="113" t="s">
        <v>161</v>
      </c>
      <c r="F13" s="156" t="s">
        <v>195</v>
      </c>
      <c r="G13" s="157"/>
      <c r="H13" s="158"/>
      <c r="I13" s="100"/>
      <c r="J13" s="100"/>
      <c r="K13" s="100"/>
      <c r="L13" s="49"/>
      <c r="M13" s="39"/>
      <c r="N13" s="61"/>
      <c r="O13" s="61"/>
    </row>
    <row r="14" spans="1:16" ht="15.75" thickBot="1" x14ac:dyDescent="0.3">
      <c r="A14" s="61"/>
      <c r="B14" s="37"/>
      <c r="C14" s="48"/>
      <c r="D14" s="49"/>
      <c r="E14" s="100"/>
      <c r="F14" s="112" t="s">
        <v>176</v>
      </c>
      <c r="G14" s="100"/>
      <c r="H14" s="100"/>
      <c r="I14" s="100"/>
      <c r="J14" s="100"/>
      <c r="K14" s="100"/>
      <c r="L14" s="49"/>
      <c r="M14" s="39"/>
      <c r="N14" s="61"/>
      <c r="O14" s="61"/>
    </row>
    <row r="15" spans="1:16" ht="15.75" thickBot="1" x14ac:dyDescent="0.3">
      <c r="A15" s="61"/>
      <c r="B15" s="37"/>
      <c r="C15" s="48"/>
      <c r="E15" s="119" t="s">
        <v>191</v>
      </c>
      <c r="F15" s="121" t="s">
        <v>174</v>
      </c>
      <c r="G15" s="100"/>
      <c r="L15" s="49"/>
      <c r="M15" s="39"/>
      <c r="N15" s="61"/>
      <c r="O15" s="61"/>
    </row>
    <row r="16" spans="1:16" x14ac:dyDescent="0.25">
      <c r="A16" s="61"/>
      <c r="B16" s="37"/>
      <c r="C16" s="48"/>
      <c r="D16" s="49"/>
      <c r="E16" s="100"/>
      <c r="F16" s="100"/>
      <c r="G16" s="100"/>
      <c r="H16" s="100"/>
      <c r="I16" s="100"/>
      <c r="J16" s="100"/>
      <c r="K16" s="100"/>
      <c r="L16" s="49"/>
      <c r="M16" s="39"/>
      <c r="N16" s="61"/>
      <c r="O16" s="61"/>
    </row>
    <row r="17" spans="1:15" ht="15.75" thickBot="1" x14ac:dyDescent="0.3">
      <c r="A17" s="61"/>
      <c r="B17" s="37"/>
      <c r="C17" s="49"/>
      <c r="D17" s="109" t="s">
        <v>162</v>
      </c>
      <c r="E17" s="109"/>
      <c r="F17" s="109"/>
      <c r="G17" s="66"/>
      <c r="H17" s="66"/>
      <c r="I17" s="66"/>
      <c r="J17" s="66"/>
      <c r="K17" s="66"/>
      <c r="L17" s="66"/>
      <c r="M17" s="39"/>
      <c r="N17" s="61"/>
      <c r="O17" s="61"/>
    </row>
    <row r="18" spans="1:15" ht="15.75" thickBot="1" x14ac:dyDescent="0.3">
      <c r="A18" s="61"/>
      <c r="B18" s="37"/>
      <c r="C18" s="49"/>
      <c r="D18" s="139" t="s">
        <v>155</v>
      </c>
      <c r="E18" s="140"/>
      <c r="F18" s="67">
        <v>135</v>
      </c>
      <c r="G18" s="66" t="s">
        <v>133</v>
      </c>
      <c r="H18" s="66"/>
      <c r="I18" s="66"/>
      <c r="J18" s="66"/>
      <c r="K18" s="66"/>
      <c r="L18" s="66"/>
      <c r="M18" s="39"/>
      <c r="N18" s="61"/>
      <c r="O18" s="61"/>
    </row>
    <row r="19" spans="1:15" ht="15.75" thickBot="1" x14ac:dyDescent="0.3">
      <c r="A19" s="61"/>
      <c r="B19" s="37"/>
      <c r="C19" s="49"/>
      <c r="D19" s="139" t="s">
        <v>156</v>
      </c>
      <c r="E19" s="140"/>
      <c r="F19" s="67">
        <v>135</v>
      </c>
      <c r="G19" s="66" t="s">
        <v>132</v>
      </c>
      <c r="H19" s="66"/>
      <c r="I19" s="66"/>
      <c r="J19" s="66"/>
      <c r="K19" s="66"/>
      <c r="L19" s="66"/>
      <c r="M19" s="39"/>
      <c r="N19" s="61"/>
      <c r="O19" s="61"/>
    </row>
    <row r="20" spans="1:15" x14ac:dyDescent="0.25">
      <c r="A20" s="61"/>
      <c r="B20" s="37"/>
      <c r="C20" s="49"/>
      <c r="D20" s="101"/>
      <c r="E20" s="66"/>
      <c r="F20" s="66"/>
      <c r="G20" s="66"/>
      <c r="H20" s="66"/>
      <c r="I20" s="66"/>
      <c r="J20" s="66"/>
      <c r="K20" s="66"/>
      <c r="L20" s="66"/>
      <c r="M20" s="39"/>
      <c r="N20" s="61"/>
      <c r="O20" s="61"/>
    </row>
    <row r="21" spans="1:15" ht="15.75" thickBot="1" x14ac:dyDescent="0.3">
      <c r="A21" s="61"/>
      <c r="B21" s="37"/>
      <c r="C21" s="49"/>
      <c r="D21" s="109" t="s">
        <v>185</v>
      </c>
      <c r="E21" s="109"/>
      <c r="F21" s="109"/>
      <c r="G21" s="109"/>
      <c r="H21" s="101"/>
      <c r="I21" s="101"/>
      <c r="J21" s="66"/>
      <c r="K21" s="66"/>
      <c r="L21" s="66"/>
      <c r="M21" s="39"/>
      <c r="N21" s="61"/>
      <c r="O21" s="61"/>
    </row>
    <row r="22" spans="1:15" ht="15.75" thickBot="1" x14ac:dyDescent="0.3">
      <c r="A22" s="61"/>
      <c r="B22" s="37"/>
      <c r="C22" s="49"/>
      <c r="D22" s="141" t="s">
        <v>163</v>
      </c>
      <c r="E22" s="142"/>
      <c r="F22" s="67">
        <v>200</v>
      </c>
      <c r="G22" s="66" t="s">
        <v>158</v>
      </c>
      <c r="H22" s="66"/>
      <c r="I22" s="66"/>
      <c r="J22" s="66"/>
      <c r="K22" s="66"/>
      <c r="L22" s="66"/>
      <c r="M22" s="39"/>
      <c r="N22" s="61"/>
      <c r="O22" s="61"/>
    </row>
    <row r="23" spans="1:15" ht="15.75" thickBot="1" x14ac:dyDescent="0.3">
      <c r="A23" s="61"/>
      <c r="B23" s="37"/>
      <c r="C23" s="49"/>
      <c r="D23" s="141" t="s">
        <v>164</v>
      </c>
      <c r="E23" s="142"/>
      <c r="F23" s="67">
        <v>200</v>
      </c>
      <c r="G23" s="66" t="s">
        <v>157</v>
      </c>
      <c r="H23" s="66"/>
      <c r="I23" s="66"/>
      <c r="J23" s="66"/>
      <c r="K23" s="66"/>
      <c r="L23" s="66"/>
      <c r="M23" s="39"/>
      <c r="N23" s="61"/>
      <c r="O23" s="61"/>
    </row>
    <row r="24" spans="1:15" ht="15.75" thickBot="1" x14ac:dyDescent="0.3">
      <c r="A24" s="61"/>
      <c r="B24" s="37"/>
      <c r="C24" s="48"/>
      <c r="D24" s="49"/>
      <c r="E24" s="100" t="s">
        <v>193</v>
      </c>
      <c r="F24" s="156" t="s">
        <v>177</v>
      </c>
      <c r="G24" s="157"/>
      <c r="H24" s="157"/>
      <c r="I24" s="158"/>
      <c r="J24" s="49"/>
      <c r="K24" s="49"/>
      <c r="L24" s="49"/>
      <c r="M24" s="39"/>
      <c r="N24" s="61"/>
      <c r="O24" s="61"/>
    </row>
    <row r="25" spans="1:15" ht="15.75" thickBot="1" x14ac:dyDescent="0.3">
      <c r="A25" s="61"/>
      <c r="B25" s="37"/>
      <c r="C25" s="49"/>
      <c r="D25" s="139" t="str">
        <f>IF(Dispo_Eff_ch=Ressources!B3,"εmodeCH (-)","ε(-)")</f>
        <v>εmodeCH (-)</v>
      </c>
      <c r="E25" s="140"/>
      <c r="F25" s="67">
        <v>0.75</v>
      </c>
      <c r="G25" s="66" t="str">
        <f>IF(Dispo_Eff_ch=Ressources!B3,"Efficacité de l'échangeur mesurée en mode chauffage","Efficacité de l'échangeur mesurée en mode ventilation seule")</f>
        <v>Efficacité de l'échangeur mesurée en mode chauffage</v>
      </c>
      <c r="H25" s="66"/>
      <c r="I25" s="66"/>
      <c r="J25" s="66"/>
      <c r="K25" s="66"/>
      <c r="L25" s="66"/>
      <c r="M25" s="39"/>
      <c r="N25" s="61"/>
      <c r="O25" s="61"/>
    </row>
    <row r="26" spans="1:15" x14ac:dyDescent="0.25">
      <c r="A26" s="61"/>
      <c r="B26" s="37"/>
      <c r="C26" s="49"/>
      <c r="D26" s="102"/>
      <c r="E26" s="102"/>
      <c r="F26" s="66"/>
      <c r="G26" s="66"/>
      <c r="H26" s="66"/>
      <c r="I26" s="66"/>
      <c r="J26" s="66"/>
      <c r="K26" s="66"/>
      <c r="L26" s="66"/>
      <c r="M26" s="39"/>
      <c r="N26" s="61"/>
      <c r="O26" s="61"/>
    </row>
    <row r="27" spans="1:15" ht="15.75" thickBot="1" x14ac:dyDescent="0.3">
      <c r="A27" s="61"/>
      <c r="B27" s="37"/>
      <c r="C27" s="49"/>
      <c r="D27" s="109" t="s">
        <v>186</v>
      </c>
      <c r="E27" s="109"/>
      <c r="F27" s="109"/>
      <c r="G27" s="109"/>
      <c r="H27" s="105"/>
      <c r="I27" s="105"/>
      <c r="J27" s="105"/>
      <c r="K27" s="66"/>
      <c r="L27" s="66"/>
      <c r="M27" s="39"/>
      <c r="N27" s="61"/>
      <c r="O27" s="61"/>
    </row>
    <row r="28" spans="1:15" ht="15.75" thickBot="1" x14ac:dyDescent="0.3">
      <c r="A28" s="61"/>
      <c r="B28" s="37"/>
      <c r="C28" s="49"/>
      <c r="D28" s="139" t="s">
        <v>165</v>
      </c>
      <c r="E28" s="140"/>
      <c r="F28" s="67">
        <v>100</v>
      </c>
      <c r="G28" s="66" t="s">
        <v>41</v>
      </c>
      <c r="H28" s="66"/>
      <c r="I28" s="66"/>
      <c r="J28" s="66"/>
      <c r="K28" s="66"/>
      <c r="L28" s="66"/>
      <c r="M28" s="39"/>
      <c r="N28" s="61"/>
      <c r="O28" s="61"/>
    </row>
    <row r="29" spans="1:15" ht="15.75" thickBot="1" x14ac:dyDescent="0.3">
      <c r="A29" s="61"/>
      <c r="B29" s="37"/>
      <c r="C29" s="49"/>
      <c r="D29" s="139" t="s">
        <v>166</v>
      </c>
      <c r="E29" s="140"/>
      <c r="F29" s="67"/>
      <c r="G29" s="66" t="s">
        <v>40</v>
      </c>
      <c r="H29" s="66"/>
      <c r="I29" s="66"/>
      <c r="J29" s="66"/>
      <c r="K29" s="66"/>
      <c r="L29" s="66"/>
      <c r="M29" s="39"/>
      <c r="N29" s="61"/>
      <c r="O29" s="61"/>
    </row>
    <row r="30" spans="1:15" ht="15.75" thickBot="1" x14ac:dyDescent="0.3">
      <c r="A30" s="61"/>
      <c r="B30" s="37"/>
      <c r="C30" s="48"/>
      <c r="G30" s="49"/>
      <c r="H30" s="49"/>
      <c r="I30" s="49"/>
      <c r="J30" s="49"/>
      <c r="K30" s="49"/>
      <c r="L30" s="49"/>
      <c r="M30" s="39"/>
      <c r="N30" s="61"/>
      <c r="O30" s="61"/>
    </row>
    <row r="31" spans="1:15" ht="62.25" customHeight="1" thickBot="1" x14ac:dyDescent="0.3">
      <c r="A31" s="61"/>
      <c r="B31" s="37"/>
      <c r="C31" s="49"/>
      <c r="D31" s="139" t="s">
        <v>139</v>
      </c>
      <c r="E31" s="140"/>
      <c r="F31" s="67">
        <v>0.75</v>
      </c>
      <c r="G31" s="66" t="s">
        <v>172</v>
      </c>
      <c r="H31" s="66"/>
      <c r="I31" s="66"/>
      <c r="J31" s="66"/>
      <c r="K31" s="66"/>
      <c r="L31" s="66"/>
      <c r="M31" s="39"/>
      <c r="N31" s="61"/>
      <c r="O31" s="61"/>
    </row>
    <row r="32" spans="1:15" ht="64.5" customHeight="1" x14ac:dyDescent="0.25">
      <c r="A32" s="61"/>
      <c r="B32" s="37"/>
      <c r="C32" s="49"/>
      <c r="D32" s="101"/>
      <c r="E32" s="101"/>
      <c r="F32" s="101"/>
      <c r="G32" s="101"/>
      <c r="H32" s="101"/>
      <c r="I32" s="66"/>
      <c r="J32" s="66"/>
      <c r="K32" s="66"/>
      <c r="L32" s="66"/>
      <c r="M32" s="39"/>
      <c r="N32" s="61"/>
      <c r="O32" s="61"/>
    </row>
    <row r="33" spans="1:15" ht="12.75" customHeight="1" thickBot="1" x14ac:dyDescent="0.3">
      <c r="A33" s="61"/>
      <c r="B33" s="37"/>
      <c r="C33" s="49"/>
      <c r="D33" s="109" t="s">
        <v>137</v>
      </c>
      <c r="E33" s="109"/>
      <c r="F33" s="109"/>
      <c r="G33" s="109"/>
      <c r="H33" s="66"/>
      <c r="I33" s="66"/>
      <c r="J33" s="66"/>
      <c r="K33" s="66"/>
      <c r="L33" s="66"/>
      <c r="M33" s="39"/>
      <c r="N33" s="61"/>
      <c r="O33" s="61"/>
    </row>
    <row r="34" spans="1:15" ht="18.75" customHeight="1" thickBot="1" x14ac:dyDescent="0.3">
      <c r="A34" s="61"/>
      <c r="B34" s="37"/>
      <c r="C34" s="49"/>
      <c r="D34" s="141" t="s">
        <v>159</v>
      </c>
      <c r="E34" s="142"/>
      <c r="F34" s="67">
        <v>24</v>
      </c>
      <c r="G34" s="143" t="s">
        <v>93</v>
      </c>
      <c r="H34" s="144"/>
      <c r="I34" s="144"/>
      <c r="J34" s="144"/>
      <c r="K34" s="144"/>
      <c r="L34" s="66"/>
      <c r="M34" s="39"/>
      <c r="N34" s="61"/>
      <c r="O34" s="61"/>
    </row>
    <row r="35" spans="1:15" ht="40.5" customHeight="1" thickBot="1" x14ac:dyDescent="0.3">
      <c r="A35" s="61"/>
      <c r="B35" s="37"/>
      <c r="C35" s="49"/>
      <c r="D35" s="141" t="s">
        <v>160</v>
      </c>
      <c r="E35" s="142"/>
      <c r="F35" s="67">
        <v>24</v>
      </c>
      <c r="G35" s="143" t="s">
        <v>92</v>
      </c>
      <c r="H35" s="144"/>
      <c r="I35" s="144"/>
      <c r="J35" s="144"/>
      <c r="K35" s="144"/>
      <c r="L35" s="66"/>
      <c r="M35" s="39"/>
      <c r="N35" s="61"/>
      <c r="O35" s="61"/>
    </row>
    <row r="36" spans="1:15" x14ac:dyDescent="0.25">
      <c r="A36" s="61"/>
      <c r="B36" s="37"/>
      <c r="C36" s="49"/>
      <c r="D36" s="90"/>
      <c r="E36" s="90"/>
      <c r="F36" s="91"/>
      <c r="G36" s="91"/>
      <c r="H36" s="91"/>
      <c r="I36" s="91"/>
      <c r="J36" s="91"/>
      <c r="K36" s="91"/>
      <c r="L36" s="66"/>
      <c r="M36" s="39"/>
      <c r="N36" s="61"/>
      <c r="O36" s="61"/>
    </row>
    <row r="37" spans="1:15" ht="15.75" thickBot="1" x14ac:dyDescent="0.3">
      <c r="A37" s="61"/>
      <c r="B37" s="37"/>
      <c r="C37" s="48" t="s">
        <v>80</v>
      </c>
      <c r="D37" s="82"/>
      <c r="E37" s="82"/>
      <c r="F37" s="83"/>
      <c r="G37" s="83"/>
      <c r="H37" s="83"/>
      <c r="I37" s="83"/>
      <c r="J37" s="83"/>
      <c r="K37" s="83"/>
      <c r="L37" s="66"/>
      <c r="M37" s="39"/>
      <c r="N37" s="61"/>
      <c r="O37" s="61"/>
    </row>
    <row r="38" spans="1:15" ht="15.75" thickBot="1" x14ac:dyDescent="0.3">
      <c r="A38" s="61"/>
      <c r="B38" s="37"/>
      <c r="C38" s="49"/>
      <c r="D38" s="82"/>
      <c r="E38" s="82" t="s">
        <v>95</v>
      </c>
      <c r="F38" s="67">
        <v>-99</v>
      </c>
      <c r="G38" s="143" t="s">
        <v>91</v>
      </c>
      <c r="H38" s="144"/>
      <c r="I38" s="144"/>
      <c r="J38" s="144"/>
      <c r="K38" s="144"/>
      <c r="L38" s="66"/>
      <c r="M38" s="39"/>
      <c r="N38" s="61"/>
      <c r="O38" s="61"/>
    </row>
    <row r="39" spans="1:15" x14ac:dyDescent="0.25">
      <c r="A39" s="61"/>
      <c r="B39" s="37"/>
      <c r="C39" s="49"/>
      <c r="D39" s="66"/>
      <c r="E39" s="66"/>
      <c r="F39" s="66"/>
      <c r="G39" s="66"/>
      <c r="H39" s="66"/>
      <c r="I39" s="66"/>
      <c r="J39" s="66"/>
      <c r="K39" s="66"/>
      <c r="L39" s="66"/>
      <c r="M39" s="39"/>
      <c r="N39" s="61"/>
      <c r="O39" s="61"/>
    </row>
    <row r="40" spans="1:15" ht="21" customHeight="1" x14ac:dyDescent="0.25">
      <c r="A40" s="61"/>
      <c r="B40" s="37"/>
      <c r="C40" s="48" t="s">
        <v>51</v>
      </c>
      <c r="D40" s="49"/>
      <c r="E40" s="49"/>
      <c r="F40" s="43" t="s">
        <v>97</v>
      </c>
      <c r="G40" s="49"/>
      <c r="H40" s="48" t="s">
        <v>52</v>
      </c>
      <c r="I40" s="49"/>
      <c r="J40" s="49"/>
      <c r="K40" s="43" t="s">
        <v>97</v>
      </c>
      <c r="L40" s="49"/>
      <c r="M40" s="39"/>
      <c r="N40" s="61"/>
      <c r="O40" s="61"/>
    </row>
    <row r="41" spans="1:15" ht="21" customHeight="1" x14ac:dyDescent="0.25">
      <c r="A41" s="61"/>
      <c r="B41" s="37"/>
      <c r="C41" s="50" t="s">
        <v>4</v>
      </c>
      <c r="D41" s="49"/>
      <c r="E41" s="49"/>
      <c r="F41" s="22">
        <v>20</v>
      </c>
      <c r="G41" s="49"/>
      <c r="H41" s="49" t="s">
        <v>3</v>
      </c>
      <c r="I41" s="49"/>
      <c r="J41" s="49"/>
      <c r="K41" s="22">
        <v>20</v>
      </c>
      <c r="L41" s="49"/>
      <c r="M41" s="39"/>
      <c r="N41" s="61"/>
      <c r="O41" s="61"/>
    </row>
    <row r="42" spans="1:15" ht="21" customHeight="1" thickBot="1" x14ac:dyDescent="0.3">
      <c r="A42" s="61"/>
      <c r="B42" s="37"/>
      <c r="C42" s="49"/>
      <c r="D42" s="49"/>
      <c r="E42" s="22" t="s">
        <v>1</v>
      </c>
      <c r="F42" s="42">
        <v>1</v>
      </c>
      <c r="G42" s="49"/>
      <c r="H42" s="49"/>
      <c r="I42" s="49"/>
      <c r="J42" s="22" t="s">
        <v>1</v>
      </c>
      <c r="K42" s="42">
        <v>1</v>
      </c>
      <c r="L42" s="49"/>
      <c r="M42" s="39"/>
      <c r="N42" s="61"/>
      <c r="O42" s="61"/>
    </row>
    <row r="43" spans="1:15" x14ac:dyDescent="0.25">
      <c r="A43" s="61"/>
      <c r="B43" s="37"/>
      <c r="C43" s="136" t="s">
        <v>96</v>
      </c>
      <c r="D43" s="22">
        <v>-7</v>
      </c>
      <c r="E43" s="36" t="s">
        <v>25</v>
      </c>
      <c r="F43" s="68"/>
      <c r="G43" s="49"/>
      <c r="H43" s="136" t="s">
        <v>96</v>
      </c>
      <c r="I43" s="22">
        <v>-7</v>
      </c>
      <c r="J43" s="36" t="s">
        <v>25</v>
      </c>
      <c r="K43" s="71"/>
      <c r="L43" s="49"/>
      <c r="M43" s="39"/>
      <c r="N43" s="61"/>
      <c r="O43" s="61"/>
    </row>
    <row r="44" spans="1:15" ht="18.75" customHeight="1" x14ac:dyDescent="0.25">
      <c r="A44" s="61"/>
      <c r="B44" s="37"/>
      <c r="C44" s="137"/>
      <c r="D44" s="22">
        <v>2</v>
      </c>
      <c r="E44" s="36" t="s">
        <v>25</v>
      </c>
      <c r="F44" s="69"/>
      <c r="G44" s="49"/>
      <c r="H44" s="137"/>
      <c r="I44" s="22">
        <v>2</v>
      </c>
      <c r="J44" s="36" t="s">
        <v>25</v>
      </c>
      <c r="K44" s="72"/>
      <c r="L44" s="49"/>
      <c r="M44" s="39"/>
      <c r="N44" s="61"/>
      <c r="O44" s="61"/>
    </row>
    <row r="45" spans="1:15" ht="18.75" customHeight="1" thickBot="1" x14ac:dyDescent="0.3">
      <c r="A45" s="61"/>
      <c r="B45" s="37"/>
      <c r="C45" s="138"/>
      <c r="D45" s="22">
        <v>7</v>
      </c>
      <c r="E45" s="36" t="s">
        <v>24</v>
      </c>
      <c r="F45" s="70">
        <v>3.8</v>
      </c>
      <c r="G45" s="49"/>
      <c r="H45" s="138"/>
      <c r="I45" s="22">
        <v>7</v>
      </c>
      <c r="J45" s="36" t="s">
        <v>24</v>
      </c>
      <c r="K45" s="73">
        <v>0.8</v>
      </c>
      <c r="L45" s="49"/>
      <c r="M45" s="39"/>
      <c r="N45" s="61"/>
      <c r="O45" s="61"/>
    </row>
    <row r="46" spans="1:15" ht="18.75" customHeight="1" x14ac:dyDescent="0.25">
      <c r="A46" s="61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61"/>
      <c r="O46" s="61"/>
    </row>
    <row r="47" spans="1:15" ht="37.5" customHeight="1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1"/>
      <c r="O47" s="61"/>
    </row>
    <row r="48" spans="1:15" s="11" customFormat="1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1"/>
      <c r="O48" s="61"/>
    </row>
    <row r="49" spans="1:16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6" x14ac:dyDescent="0.25">
      <c r="A50" s="62"/>
      <c r="B50" s="150" t="s">
        <v>53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47"/>
      <c r="N50" s="62"/>
      <c r="O50" s="62"/>
      <c r="P50" s="49"/>
    </row>
    <row r="51" spans="1:16" x14ac:dyDescent="0.25">
      <c r="A51" s="62"/>
      <c r="B51" s="120" t="s">
        <v>192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39"/>
      <c r="N51" s="62"/>
      <c r="O51" s="61"/>
      <c r="P51" s="49"/>
    </row>
    <row r="52" spans="1:16" x14ac:dyDescent="0.25">
      <c r="A52" s="62"/>
      <c r="B52" s="37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39"/>
      <c r="N52" s="62"/>
      <c r="O52" s="61"/>
      <c r="P52" s="49"/>
    </row>
    <row r="53" spans="1:16" ht="16.5" customHeight="1" x14ac:dyDescent="0.25">
      <c r="A53" s="62"/>
      <c r="B53" s="37"/>
      <c r="C53" s="79" t="str">
        <f>IF(Is_OK_ch=0,"/!\: Le présent outil n'est pas nécessaire en l'absence d'échangeur ou de débits de recyclage de part et d'autre de","")</f>
        <v/>
      </c>
      <c r="D53" s="49"/>
      <c r="E53" s="49"/>
      <c r="F53" s="49"/>
      <c r="G53" s="49"/>
      <c r="H53" s="49"/>
      <c r="I53" s="49"/>
      <c r="J53" s="49"/>
      <c r="K53" s="49"/>
      <c r="L53" s="49"/>
      <c r="M53" s="39"/>
      <c r="N53" s="62"/>
      <c r="O53" s="61"/>
      <c r="P53" s="49"/>
    </row>
    <row r="54" spans="1:16" ht="16.5" customHeight="1" x14ac:dyDescent="0.25">
      <c r="A54" s="62"/>
      <c r="B54" s="37"/>
      <c r="C54" s="79" t="str">
        <f>IF(Is_OK_ch=0,"de la pompe à chaleur. ","")</f>
        <v/>
      </c>
      <c r="D54" s="49"/>
      <c r="E54" s="49"/>
      <c r="F54" s="49"/>
      <c r="G54" s="49"/>
      <c r="H54" s="49"/>
      <c r="I54" s="49"/>
      <c r="J54" s="49"/>
      <c r="K54" s="49"/>
      <c r="L54" s="49"/>
      <c r="M54" s="39"/>
      <c r="N54" s="62"/>
      <c r="O54" s="61"/>
      <c r="P54" s="49"/>
    </row>
    <row r="55" spans="1:16" ht="16.5" customHeight="1" x14ac:dyDescent="0.25">
      <c r="A55" s="62"/>
      <c r="B55" s="37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39"/>
      <c r="N55" s="62"/>
      <c r="O55" s="61"/>
      <c r="P55" s="49"/>
    </row>
    <row r="56" spans="1:16" ht="16.5" customHeight="1" x14ac:dyDescent="0.25">
      <c r="A56" s="62"/>
      <c r="B56" s="37"/>
      <c r="C56" s="54" t="s">
        <v>50</v>
      </c>
      <c r="D56" s="55"/>
      <c r="E56" s="55"/>
      <c r="F56" s="145" t="s">
        <v>0</v>
      </c>
      <c r="G56" s="146"/>
      <c r="H56" s="146"/>
      <c r="I56" s="146"/>
      <c r="J56" s="147"/>
      <c r="K56" s="49"/>
      <c r="L56" s="49"/>
      <c r="M56" s="39"/>
      <c r="N56" s="62"/>
      <c r="O56" s="62"/>
      <c r="P56" s="49"/>
    </row>
    <row r="57" spans="1:16" ht="16.5" customHeight="1" x14ac:dyDescent="0.25">
      <c r="A57" s="62"/>
      <c r="B57" s="37"/>
      <c r="C57" s="56" t="s">
        <v>4</v>
      </c>
      <c r="D57" s="55"/>
      <c r="E57" s="55"/>
      <c r="F57" s="27">
        <v>-15</v>
      </c>
      <c r="G57" s="27">
        <v>-7</v>
      </c>
      <c r="H57" s="27">
        <v>2</v>
      </c>
      <c r="I57" s="27">
        <v>7</v>
      </c>
      <c r="J57" s="27">
        <v>20</v>
      </c>
      <c r="K57" s="49"/>
      <c r="L57" s="49"/>
      <c r="M57" s="39"/>
      <c r="N57" s="62"/>
      <c r="O57" s="62"/>
      <c r="P57" s="49"/>
    </row>
    <row r="58" spans="1:16" ht="16.5" customHeight="1" x14ac:dyDescent="0.25">
      <c r="A58" s="62"/>
      <c r="B58" s="37"/>
      <c r="C58" s="55"/>
      <c r="D58" s="55"/>
      <c r="E58" s="57" t="s">
        <v>1</v>
      </c>
      <c r="F58" s="23">
        <v>5</v>
      </c>
      <c r="G58" s="23">
        <v>2</v>
      </c>
      <c r="H58" s="23">
        <v>3</v>
      </c>
      <c r="I58" s="23">
        <v>1</v>
      </c>
      <c r="J58" s="23">
        <v>4</v>
      </c>
      <c r="K58" s="49"/>
      <c r="L58" s="49"/>
      <c r="M58" s="39"/>
      <c r="N58" s="62"/>
      <c r="O58" s="62"/>
      <c r="P58" s="49"/>
    </row>
    <row r="59" spans="1:16" ht="16.5" customHeight="1" x14ac:dyDescent="0.25">
      <c r="A59" s="62"/>
      <c r="B59" s="37"/>
      <c r="C59" s="148" t="s">
        <v>98</v>
      </c>
      <c r="D59" s="27">
        <v>5</v>
      </c>
      <c r="E59" s="23">
        <v>5</v>
      </c>
      <c r="F59" s="40">
        <f>IF(AND(Is_OK_ch=1,Statut_ch&lt;&gt;Ressources!$B$9),'Calcul chauffage'!F96,"")</f>
        <v>1.3953468548272525</v>
      </c>
      <c r="G59" s="40">
        <f>IF(AND(Is_OK_ch=1,Statut_ch&lt;&gt;Ressources!$B$9),'Calcul chauffage'!G96,"")</f>
        <v>2.2015472598385681</v>
      </c>
      <c r="H59" s="40">
        <f>IF(AND(Is_OK_ch=1,Statut_ch&lt;&gt;Ressources!$B$9),'Calcul chauffage'!H96,"")</f>
        <v>3.1085227154762869</v>
      </c>
      <c r="I59" s="40">
        <f>IF(AND(Is_OK_ch=1,Statut_ch&lt;&gt;Ressources!$B$9),'Calcul chauffage'!I96,"")</f>
        <v>3.6123979686083523</v>
      </c>
      <c r="J59" s="40">
        <f>IF(AND(Is_OK_ch=1,Statut_ch&lt;&gt;Ressources!$B$9),'Calcul chauffage'!J96,"")</f>
        <v>4.9224736267517244</v>
      </c>
      <c r="K59" s="49"/>
      <c r="L59" s="49"/>
      <c r="M59" s="39"/>
      <c r="N59" s="62"/>
      <c r="O59" s="62"/>
      <c r="P59" s="49"/>
    </row>
    <row r="60" spans="1:16" ht="16.5" customHeight="1" x14ac:dyDescent="0.25">
      <c r="A60" s="62"/>
      <c r="B60" s="37"/>
      <c r="C60" s="149"/>
      <c r="D60" s="27">
        <v>10</v>
      </c>
      <c r="E60" s="23">
        <v>4</v>
      </c>
      <c r="F60" s="40">
        <f>IF(AND(Is_OK_ch=1,Statut_ch&lt;&gt;Ressources!$B$9),'Calcul chauffage'!F97,"")</f>
        <v>1.2880124813790097</v>
      </c>
      <c r="G60" s="40">
        <f>IF(AND(Is_OK_ch=1,Statut_ch&lt;&gt;Ressources!$B$9),'Calcul chauffage'!G97,"")</f>
        <v>2.0321974706202139</v>
      </c>
      <c r="H60" s="40">
        <f>IF(AND(Is_OK_ch=1,Statut_ch&lt;&gt;Ressources!$B$9),'Calcul chauffage'!H97,"")</f>
        <v>2.8694055835165706</v>
      </c>
      <c r="I60" s="40">
        <f>IF(AND(Is_OK_ch=1,Statut_ch&lt;&gt;Ressources!$B$9),'Calcul chauffage'!I97,"")</f>
        <v>3.3345212017923247</v>
      </c>
      <c r="J60" s="40">
        <f>IF(AND(Is_OK_ch=1,Statut_ch&lt;&gt;Ressources!$B$9),'Calcul chauffage'!J97,"")</f>
        <v>4.5438218093092821</v>
      </c>
      <c r="K60" s="49"/>
      <c r="L60" s="49"/>
      <c r="M60" s="39"/>
      <c r="N60" s="62"/>
      <c r="O60" s="62"/>
      <c r="P60" s="49"/>
    </row>
    <row r="61" spans="1:16" ht="16.5" customHeight="1" x14ac:dyDescent="0.25">
      <c r="A61" s="62"/>
      <c r="B61" s="37"/>
      <c r="C61" s="149"/>
      <c r="D61" s="27">
        <v>15</v>
      </c>
      <c r="E61" s="23">
        <v>2</v>
      </c>
      <c r="F61" s="40">
        <f>IF(AND(Is_OK_ch=1,Statut_ch&lt;&gt;Ressources!$B$9),'Calcul chauffage'!F98,"")</f>
        <v>1.1806781079307591</v>
      </c>
      <c r="G61" s="40">
        <f>IF(AND(Is_OK_ch=1,Statut_ch&lt;&gt;Ressources!$B$9),'Calcul chauffage'!G98,"")</f>
        <v>1.8628476814018624</v>
      </c>
      <c r="H61" s="40">
        <f>IF(AND(Is_OK_ch=1,Statut_ch&lt;&gt;Ressources!$B$9),'Calcul chauffage'!H98,"")</f>
        <v>2.6302884515568548</v>
      </c>
      <c r="I61" s="40">
        <f>IF(AND(Is_OK_ch=1,Statut_ch&lt;&gt;Ressources!$B$9),'Calcul chauffage'!I98,"")</f>
        <v>3.0566444349762953</v>
      </c>
      <c r="J61" s="40">
        <f>IF(AND(Is_OK_ch=1,Statut_ch&lt;&gt;Ressources!$B$9),'Calcul chauffage'!J98,"")</f>
        <v>4.165169991866839</v>
      </c>
      <c r="K61" s="49"/>
      <c r="L61" s="49"/>
      <c r="M61" s="39"/>
      <c r="N61" s="62"/>
      <c r="O61" s="62"/>
      <c r="P61" s="49"/>
    </row>
    <row r="62" spans="1:16" ht="16.5" customHeight="1" x14ac:dyDescent="0.25">
      <c r="A62" s="62"/>
      <c r="B62" s="37"/>
      <c r="C62" s="149"/>
      <c r="D62" s="27">
        <v>20</v>
      </c>
      <c r="E62" s="23">
        <v>1</v>
      </c>
      <c r="F62" s="40">
        <f>IF(AND(Is_OK_ch=1,Statut_ch&lt;&gt;Ressources!$B$9),'Calcul chauffage'!F99,"")</f>
        <v>1.0733437344825063</v>
      </c>
      <c r="G62" s="40">
        <f>IF(AND(Is_OK_ch=1,Statut_ch&lt;&gt;Ressources!$B$9),'Calcul chauffage'!G99,"")</f>
        <v>1.6934978921835113</v>
      </c>
      <c r="H62" s="40">
        <f>IF(AND(Is_OK_ch=1,Statut_ch&lt;&gt;Ressources!$B$9),'Calcul chauffage'!H99,"")</f>
        <v>2.3911713195971416</v>
      </c>
      <c r="I62" s="40">
        <f>IF(Is_OK_ch=1,'Calcul chauffage'!I99,"")</f>
        <v>2.7787676681602687</v>
      </c>
      <c r="J62" s="40">
        <f>IF(AND(Is_OK_ch=1,Statut_ch&lt;&gt;Ressources!$B$9),'Calcul chauffage'!J99,"")</f>
        <v>3.7865181744244003</v>
      </c>
      <c r="K62" s="49"/>
      <c r="L62" s="49"/>
      <c r="M62" s="39"/>
      <c r="N62" s="62"/>
      <c r="O62" s="62"/>
      <c r="P62" s="49"/>
    </row>
    <row r="63" spans="1:16" ht="16.5" customHeight="1" x14ac:dyDescent="0.25">
      <c r="A63" s="62"/>
      <c r="B63" s="37"/>
      <c r="C63" s="149"/>
      <c r="D63" s="27">
        <v>25</v>
      </c>
      <c r="E63" s="23">
        <v>3</v>
      </c>
      <c r="F63" s="40">
        <f>IF(AND(Is_OK_ch=1,Statut_ch&lt;&gt;Ressources!$B$9),'Calcul chauffage'!F100,"")</f>
        <v>0.96600936103425639</v>
      </c>
      <c r="G63" s="40">
        <f>IF(AND(Is_OK_ch=1,Statut_ch&lt;&gt;Ressources!$B$9),'Calcul chauffage'!G100,"")</f>
        <v>1.5241481029651585</v>
      </c>
      <c r="H63" s="40">
        <f>IF(AND(Is_OK_ch=1,Statut_ch&lt;&gt;Ressources!$B$9),'Calcul chauffage'!H100,"")</f>
        <v>2.1520541876374271</v>
      </c>
      <c r="I63" s="40">
        <f>IF(AND(Is_OK_ch=1,Statut_ch&lt;&gt;Ressources!$B$9),'Calcul chauffage'!I100,"")</f>
        <v>2.5008909013442411</v>
      </c>
      <c r="J63" s="40">
        <f>IF(AND(Is_OK_ch=1,Statut_ch&lt;&gt;Ressources!$B$9),'Calcul chauffage'!J100,"")</f>
        <v>3.4078663569819589</v>
      </c>
      <c r="K63" s="49"/>
      <c r="L63" s="49"/>
      <c r="M63" s="39"/>
      <c r="N63" s="62"/>
      <c r="O63" s="62"/>
      <c r="P63" s="49"/>
    </row>
    <row r="64" spans="1:16" ht="16.5" customHeight="1" x14ac:dyDescent="0.25">
      <c r="A64" s="62"/>
      <c r="B64" s="37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39"/>
      <c r="N64" s="62"/>
      <c r="O64" s="62"/>
      <c r="P64" s="49"/>
    </row>
    <row r="65" spans="1:16" ht="16.5" customHeight="1" x14ac:dyDescent="0.25">
      <c r="A65" s="62"/>
      <c r="B65" s="37"/>
      <c r="C65" s="54" t="s">
        <v>2</v>
      </c>
      <c r="D65" s="55"/>
      <c r="E65" s="55"/>
      <c r="F65" s="145" t="s">
        <v>0</v>
      </c>
      <c r="G65" s="146"/>
      <c r="H65" s="146"/>
      <c r="I65" s="146"/>
      <c r="J65" s="147"/>
      <c r="K65" s="49"/>
      <c r="L65" s="49"/>
      <c r="M65" s="39"/>
      <c r="N65" s="62"/>
      <c r="O65" s="62"/>
      <c r="P65" s="49"/>
    </row>
    <row r="66" spans="1:16" ht="16.5" customHeight="1" x14ac:dyDescent="0.25">
      <c r="A66" s="62"/>
      <c r="B66" s="37"/>
      <c r="C66" s="56" t="s">
        <v>3</v>
      </c>
      <c r="D66" s="55"/>
      <c r="E66" s="55"/>
      <c r="F66" s="27">
        <f>F57</f>
        <v>-15</v>
      </c>
      <c r="G66" s="27">
        <f>G57</f>
        <v>-7</v>
      </c>
      <c r="H66" s="27">
        <f>H57</f>
        <v>2</v>
      </c>
      <c r="I66" s="27">
        <f>I57</f>
        <v>7</v>
      </c>
      <c r="J66" s="27">
        <f>J57</f>
        <v>20</v>
      </c>
      <c r="K66" s="49"/>
      <c r="L66" s="49"/>
      <c r="M66" s="39"/>
      <c r="N66" s="62"/>
      <c r="O66" s="62"/>
      <c r="P66" s="49"/>
    </row>
    <row r="67" spans="1:16" ht="16.5" customHeight="1" x14ac:dyDescent="0.25">
      <c r="A67" s="62"/>
      <c r="B67" s="37"/>
      <c r="C67" s="55"/>
      <c r="D67" s="55"/>
      <c r="E67" s="57" t="s">
        <v>1</v>
      </c>
      <c r="F67" s="23">
        <v>5</v>
      </c>
      <c r="G67" s="23">
        <v>2</v>
      </c>
      <c r="H67" s="23">
        <v>3</v>
      </c>
      <c r="I67" s="23">
        <v>1</v>
      </c>
      <c r="J67" s="23">
        <v>4</v>
      </c>
      <c r="K67" s="49"/>
      <c r="L67" s="49"/>
      <c r="M67" s="39"/>
      <c r="N67" s="62"/>
      <c r="O67" s="62"/>
      <c r="P67" s="49"/>
    </row>
    <row r="68" spans="1:16" ht="16.5" customHeight="1" x14ac:dyDescent="0.25">
      <c r="A68" s="62"/>
      <c r="B68" s="37"/>
      <c r="C68" s="148" t="s">
        <v>98</v>
      </c>
      <c r="D68" s="27">
        <f>D59</f>
        <v>5</v>
      </c>
      <c r="E68" s="23">
        <v>5</v>
      </c>
      <c r="F68" s="40">
        <f>IF(AND(Is_OK_ch=1,Statut_ch&lt;&gt;Ressources!$B$9),'Calcul chauffage'!O96,"")</f>
        <v>0.92609448528743066</v>
      </c>
      <c r="G68" s="40">
        <f>IF(AND(Is_OK_ch=1,Statut_ch&lt;&gt;Ressources!$B$9),'Calcul chauffage'!P96,"")</f>
        <v>0.91825453197283124</v>
      </c>
      <c r="H68" s="40">
        <f>IF(AND(Is_OK_ch=1,Statut_ch&lt;&gt;Ressources!$B$9),'Calcul chauffage'!Q96,"")</f>
        <v>0.90943458449390313</v>
      </c>
      <c r="I68" s="40">
        <f>IF(AND(Is_OK_ch=1,Statut_ch&lt;&gt;Ressources!$B$9),'Calcul chauffage'!R96,"")</f>
        <v>0.90453461367227694</v>
      </c>
      <c r="J68" s="40">
        <f>IF(AND(Is_OK_ch=1,Statut_ch&lt;&gt;Ressources!$B$9),'Calcul chauffage'!S96,"")</f>
        <v>0.89179468953604735</v>
      </c>
      <c r="K68" s="49"/>
      <c r="L68" s="49"/>
      <c r="M68" s="39"/>
      <c r="N68" s="62"/>
      <c r="O68" s="62"/>
      <c r="P68" s="49"/>
    </row>
    <row r="69" spans="1:16" ht="16.5" customHeight="1" x14ac:dyDescent="0.25">
      <c r="A69" s="62"/>
      <c r="B69" s="37"/>
      <c r="C69" s="149"/>
      <c r="D69" s="27">
        <f>D60</f>
        <v>10</v>
      </c>
      <c r="E69" s="23">
        <v>4</v>
      </c>
      <c r="F69" s="40">
        <f>IF(AND(Is_OK_ch=1,Statut_ch&lt;&gt;Ressources!$B$9),'Calcul chauffage'!O97,"")</f>
        <v>0.88582950766624213</v>
      </c>
      <c r="G69" s="40">
        <f>IF(AND(Is_OK_ch=1,Statut_ch&lt;&gt;Ressources!$B$9),'Calcul chauffage'!P97,"")</f>
        <v>0.87833042188705535</v>
      </c>
      <c r="H69" s="40">
        <f>IF(AND(Is_OK_ch=1,Statut_ch&lt;&gt;Ressources!$B$9),'Calcul chauffage'!Q97,"")</f>
        <v>0.8698939503854719</v>
      </c>
      <c r="I69" s="40">
        <f>IF(AND(Is_OK_ch=1,Statut_ch&lt;&gt;Ressources!$B$9),'Calcul chauffage'!R97,"")</f>
        <v>0.86520702177348108</v>
      </c>
      <c r="J69" s="40">
        <f>IF(AND(Is_OK_ch=1,Statut_ch&lt;&gt;Ressources!$B$9),'Calcul chauffage'!S97,"")</f>
        <v>0.85302100738230591</v>
      </c>
      <c r="K69" s="49"/>
      <c r="L69" s="49"/>
      <c r="M69" s="39"/>
      <c r="N69" s="62"/>
      <c r="O69" s="62"/>
      <c r="P69" s="49"/>
    </row>
    <row r="70" spans="1:16" x14ac:dyDescent="0.25">
      <c r="A70" s="62"/>
      <c r="B70" s="37"/>
      <c r="C70" s="149"/>
      <c r="D70" s="27">
        <f>D61</f>
        <v>15</v>
      </c>
      <c r="E70" s="23">
        <v>2</v>
      </c>
      <c r="F70" s="40">
        <f>IF(AND(Is_OK_ch=1,Statut_ch&lt;&gt;Ressources!$B$9),'Calcul chauffage'!O98,"")</f>
        <v>0.8455645300450475</v>
      </c>
      <c r="G70" s="40">
        <f>IF(AND(Is_OK_ch=1,Statut_ch&lt;&gt;Ressources!$B$9),'Calcul chauffage'!P98,"")</f>
        <v>0.83840631180127956</v>
      </c>
      <c r="H70" s="40">
        <f>IF(AND(Is_OK_ch=1,Statut_ch&lt;&gt;Ressources!$B$9),'Calcul chauffage'!Q98,"")</f>
        <v>0.83035331627704101</v>
      </c>
      <c r="I70" s="40">
        <f>IF(AND(Is_OK_ch=1,Statut_ch&lt;&gt;Ressources!$B$9),'Calcul chauffage'!R98,"")</f>
        <v>0.82587942987468621</v>
      </c>
      <c r="J70" s="40">
        <f>IF(AND(Is_OK_ch=1,Statut_ch&lt;&gt;Ressources!$B$9),'Calcul chauffage'!S98,"")</f>
        <v>0.81424732522856391</v>
      </c>
      <c r="K70" s="49"/>
      <c r="L70" s="49"/>
      <c r="M70" s="39"/>
      <c r="N70" s="62"/>
      <c r="O70" s="62"/>
      <c r="P70" s="49"/>
    </row>
    <row r="71" spans="1:16" x14ac:dyDescent="0.25">
      <c r="A71" s="62"/>
      <c r="B71" s="37"/>
      <c r="C71" s="149"/>
      <c r="D71" s="27">
        <f>D62</f>
        <v>20</v>
      </c>
      <c r="E71" s="23">
        <v>1</v>
      </c>
      <c r="F71" s="40">
        <f>IF(AND(Is_OK_ch=1,Statut_ch&lt;&gt;Ressources!$B$9),'Calcul chauffage'!O99,"")</f>
        <v>0.80529955242385487</v>
      </c>
      <c r="G71" s="40">
        <f>IF(AND(Is_OK_ch=1,Statut_ch&lt;&gt;Ressources!$B$9),'Calcul chauffage'!P99,"")</f>
        <v>0.79848220171550466</v>
      </c>
      <c r="H71" s="40">
        <f>IF(AND(Is_OK_ch=1,Statut_ch&lt;&gt;Ressources!$B$9),'Calcul chauffage'!Q99,"")</f>
        <v>0.79081268216861034</v>
      </c>
      <c r="I71" s="40">
        <f>IF(Is_OK_ch=1,'Calcul chauffage'!R99,"")</f>
        <v>0.78655183797589168</v>
      </c>
      <c r="J71" s="40">
        <f>IF(AND(Is_OK_ch=1,Statut_ch&lt;&gt;Ressources!$B$9),'Calcul chauffage'!S99,"")</f>
        <v>0.77547364307482269</v>
      </c>
      <c r="K71" s="49"/>
      <c r="L71" s="49"/>
      <c r="M71" s="39"/>
      <c r="N71" s="62"/>
      <c r="O71" s="62"/>
      <c r="P71" s="49"/>
    </row>
    <row r="72" spans="1:16" x14ac:dyDescent="0.25">
      <c r="A72" s="62"/>
      <c r="B72" s="37"/>
      <c r="C72" s="149"/>
      <c r="D72" s="27">
        <f>D63</f>
        <v>25</v>
      </c>
      <c r="E72" s="23">
        <v>3</v>
      </c>
      <c r="F72" s="40">
        <f>IF(AND(Is_OK_ch=1,Statut_ch&lt;&gt;Ressources!$B$9),'Calcul chauffage'!O100,"")</f>
        <v>0.76503457480266146</v>
      </c>
      <c r="G72" s="40">
        <f>IF(AND(Is_OK_ch=1,Statut_ch&lt;&gt;Ressources!$B$9),'Calcul chauffage'!P100,"")</f>
        <v>0.75855809162972831</v>
      </c>
      <c r="H72" s="40">
        <f>IF(AND(Is_OK_ch=1,Statut_ch&lt;&gt;Ressources!$B$9),'Calcul chauffage'!Q100,"")</f>
        <v>0.75127204806017955</v>
      </c>
      <c r="I72" s="40">
        <f>IF(AND(Is_OK_ch=1,Statut_ch&lt;&gt;Ressources!$B$9),'Calcul chauffage'!R100,"")</f>
        <v>0.74722424607709703</v>
      </c>
      <c r="J72" s="40">
        <f>IF(AND(Is_OK_ch=1,Statut_ch&lt;&gt;Ressources!$B$9),'Calcul chauffage'!S100,"")</f>
        <v>0.73669996092108114</v>
      </c>
      <c r="K72" s="49"/>
      <c r="L72" s="49"/>
      <c r="M72" s="39"/>
      <c r="N72" s="62"/>
      <c r="O72" s="62"/>
      <c r="P72" s="49"/>
    </row>
    <row r="73" spans="1:16" x14ac:dyDescent="0.25">
      <c r="A73" s="62"/>
      <c r="B73" s="37"/>
      <c r="C73" s="84"/>
      <c r="D73" s="85"/>
      <c r="E73" s="49"/>
      <c r="F73" s="49"/>
      <c r="G73" s="49"/>
      <c r="H73" s="49"/>
      <c r="I73" s="49"/>
      <c r="J73" s="49"/>
      <c r="K73" s="49"/>
      <c r="L73" s="49"/>
      <c r="M73" s="39"/>
      <c r="N73" s="62"/>
      <c r="O73" s="62"/>
      <c r="P73" s="49"/>
    </row>
    <row r="74" spans="1:16" x14ac:dyDescent="0.25">
      <c r="A74" s="62"/>
      <c r="B74" s="37"/>
      <c r="C74" s="48" t="s">
        <v>83</v>
      </c>
      <c r="D74" s="90"/>
      <c r="E74" s="90"/>
      <c r="F74" s="91"/>
      <c r="G74" s="91"/>
      <c r="H74" s="49"/>
      <c r="I74" s="49"/>
      <c r="J74" s="49"/>
      <c r="K74" s="49"/>
      <c r="L74" s="49"/>
      <c r="M74" s="39"/>
      <c r="N74" s="62"/>
      <c r="O74" s="62"/>
      <c r="P74" s="49"/>
    </row>
    <row r="75" spans="1:16" x14ac:dyDescent="0.25">
      <c r="A75" s="62"/>
      <c r="B75" s="37"/>
      <c r="C75" s="49" t="s">
        <v>81</v>
      </c>
      <c r="D75" s="49"/>
      <c r="E75" s="49"/>
      <c r="F75" s="49"/>
      <c r="H75" s="49"/>
      <c r="I75" s="49"/>
      <c r="J75" s="49"/>
      <c r="K75" s="49"/>
      <c r="L75" s="49"/>
      <c r="M75" s="39"/>
      <c r="N75" s="62"/>
      <c r="O75" s="62"/>
      <c r="P75" s="49"/>
    </row>
    <row r="76" spans="1:16" x14ac:dyDescent="0.25">
      <c r="A76" s="62"/>
      <c r="B76" s="37"/>
      <c r="D76" s="23" t="s">
        <v>82</v>
      </c>
      <c r="E76" s="94">
        <f>IF(Is_OK_ch=1,'Calcul chauffage'!E102,"")</f>
        <v>-59.883206317649652</v>
      </c>
      <c r="F76" s="49"/>
      <c r="H76" s="49"/>
      <c r="I76" s="49"/>
      <c r="J76" s="49"/>
      <c r="K76" s="49"/>
      <c r="L76" s="49"/>
      <c r="M76" s="39"/>
      <c r="N76" s="62"/>
      <c r="O76" s="62"/>
      <c r="P76" s="49"/>
    </row>
    <row r="77" spans="1:16" x14ac:dyDescent="0.25">
      <c r="A77" s="6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61"/>
      <c r="O77" s="61"/>
    </row>
    <row r="78" spans="1:16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6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6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</sheetData>
  <sheetProtection sheet="1" objects="1" scenarios="1"/>
  <mergeCells count="26">
    <mergeCell ref="F65:J65"/>
    <mergeCell ref="C59:C63"/>
    <mergeCell ref="C68:C72"/>
    <mergeCell ref="B50:L50"/>
    <mergeCell ref="B5:M5"/>
    <mergeCell ref="D25:E25"/>
    <mergeCell ref="D28:E28"/>
    <mergeCell ref="D31:E31"/>
    <mergeCell ref="F56:J56"/>
    <mergeCell ref="D18:E18"/>
    <mergeCell ref="D19:E19"/>
    <mergeCell ref="F10:K10"/>
    <mergeCell ref="D23:E23"/>
    <mergeCell ref="F24:I24"/>
    <mergeCell ref="D22:E22"/>
    <mergeCell ref="F13:H13"/>
    <mergeCell ref="A1:N1"/>
    <mergeCell ref="A2:N2"/>
    <mergeCell ref="C43:C45"/>
    <mergeCell ref="H43:H45"/>
    <mergeCell ref="D29:E29"/>
    <mergeCell ref="D34:E34"/>
    <mergeCell ref="D35:E35"/>
    <mergeCell ref="G34:K34"/>
    <mergeCell ref="G35:K35"/>
    <mergeCell ref="G38:K38"/>
  </mergeCells>
  <dataValidations count="3">
    <dataValidation type="list" allowBlank="1" showInputMessage="1" showErrorMessage="1" sqref="F24">
      <formula1>Statuts_ch</formula1>
    </dataValidation>
    <dataValidation type="list" allowBlank="1" showInputMessage="1" showErrorMessage="1" sqref="F15">
      <formula1>Statuts_VS</formula1>
    </dataValidation>
    <dataValidation type="list" allowBlank="1" showInputMessage="1" showErrorMessage="1" sqref="F13:H13">
      <formula1>Modes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71"/>
  <sheetViews>
    <sheetView zoomScale="145" zoomScaleNormal="145" workbookViewId="0">
      <selection activeCell="A2" sqref="A2:N2"/>
    </sheetView>
  </sheetViews>
  <sheetFormatPr baseColWidth="10" defaultRowHeight="15" x14ac:dyDescent="0.25"/>
  <cols>
    <col min="1" max="2" width="6.42578125" style="11" customWidth="1"/>
    <col min="3" max="3" width="11.42578125" style="11" customWidth="1"/>
    <col min="4" max="4" width="16.140625" style="11" customWidth="1"/>
    <col min="5" max="7" width="11.42578125" style="11" customWidth="1"/>
    <col min="8" max="8" width="12.140625" style="11" customWidth="1"/>
    <col min="9" max="11" width="11.42578125" style="11" customWidth="1"/>
    <col min="12" max="12" width="7.7109375" style="11" customWidth="1"/>
    <col min="13" max="13" width="1" style="11" customWidth="1"/>
    <col min="14" max="14" width="8.85546875" style="11" customWidth="1"/>
    <col min="15" max="15" width="10.140625" style="11" customWidth="1"/>
    <col min="16" max="17" width="11.42578125" style="11" customWidth="1"/>
    <col min="18" max="18" width="3.42578125" style="11" customWidth="1"/>
    <col min="19" max="23" width="11.42578125" style="11" customWidth="1"/>
  </cols>
  <sheetData>
    <row r="1" spans="1:23" ht="49.5" customHeight="1" x14ac:dyDescent="0.3">
      <c r="A1" s="132" t="s">
        <v>201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25"/>
    </row>
    <row r="2" spans="1:23" ht="33.75" customHeight="1" x14ac:dyDescent="0.3">
      <c r="A2" s="134" t="s">
        <v>202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26"/>
    </row>
    <row r="3" spans="1:23" ht="21.75" customHeight="1" thickBot="1" x14ac:dyDescent="0.35">
      <c r="A3" s="127" t="s">
        <v>200</v>
      </c>
      <c r="B3" s="128"/>
      <c r="C3" s="129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30"/>
      <c r="O3" s="131"/>
    </row>
    <row r="4" spans="1:23" ht="15.75" customHeight="1" x14ac:dyDescent="0.25">
      <c r="A4" s="61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63"/>
      <c r="O4" s="63"/>
    </row>
    <row r="5" spans="1:23" ht="42.75" customHeight="1" x14ac:dyDescent="0.25">
      <c r="A5" s="61"/>
      <c r="B5" s="152" t="s">
        <v>58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63"/>
      <c r="O5" s="63"/>
    </row>
    <row r="6" spans="1:23" x14ac:dyDescent="0.25">
      <c r="A6" s="61"/>
      <c r="B6" s="45" t="s">
        <v>59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61"/>
      <c r="O6" s="61"/>
    </row>
    <row r="7" spans="1:23" x14ac:dyDescent="0.25">
      <c r="A7" s="61"/>
      <c r="B7" s="37"/>
      <c r="C7" s="49"/>
      <c r="D7" s="49"/>
      <c r="E7" s="49"/>
      <c r="F7" s="49"/>
      <c r="G7" s="49"/>
      <c r="H7" s="49"/>
      <c r="I7" s="49"/>
      <c r="J7" s="49"/>
      <c r="K7" s="49"/>
      <c r="L7" s="49"/>
      <c r="M7" s="39"/>
      <c r="N7" s="61"/>
      <c r="O7" s="61"/>
    </row>
    <row r="8" spans="1:23" x14ac:dyDescent="0.25">
      <c r="A8" s="61"/>
      <c r="B8" s="37"/>
      <c r="C8" s="48" t="s">
        <v>60</v>
      </c>
      <c r="D8" s="49"/>
      <c r="E8" s="49"/>
      <c r="F8" s="48"/>
      <c r="G8" s="49"/>
      <c r="H8" s="49"/>
      <c r="I8" s="49"/>
      <c r="J8" s="49"/>
      <c r="K8" s="49"/>
      <c r="L8" s="49"/>
      <c r="M8" s="39"/>
      <c r="N8" s="61"/>
      <c r="O8" s="61"/>
    </row>
    <row r="9" spans="1:23" ht="15.75" thickBot="1" x14ac:dyDescent="0.3">
      <c r="A9" s="61"/>
      <c r="B9" s="37"/>
      <c r="C9" s="48"/>
      <c r="D9" s="49"/>
      <c r="E9" s="49"/>
      <c r="F9" s="48"/>
      <c r="G9" s="49"/>
      <c r="H9" s="49"/>
      <c r="I9" s="49"/>
      <c r="J9" s="49"/>
      <c r="K9" s="49"/>
      <c r="L9" s="49"/>
      <c r="M9" s="39"/>
      <c r="N9" s="61"/>
      <c r="O9" s="61"/>
    </row>
    <row r="10" spans="1:23" ht="15.75" thickBot="1" x14ac:dyDescent="0.3">
      <c r="A10" s="61"/>
      <c r="B10" s="37"/>
      <c r="C10" s="48"/>
      <c r="D10" s="49"/>
      <c r="E10" s="100" t="s">
        <v>124</v>
      </c>
      <c r="F10" s="153" t="s">
        <v>197</v>
      </c>
      <c r="G10" s="154"/>
      <c r="H10" s="154"/>
      <c r="I10" s="154"/>
      <c r="J10" s="154"/>
      <c r="K10" s="155"/>
      <c r="L10" s="49"/>
      <c r="M10" s="39"/>
      <c r="N10" s="61"/>
      <c r="O10" s="61"/>
    </row>
    <row r="11" spans="1:23" x14ac:dyDescent="0.25">
      <c r="A11" s="61"/>
      <c r="B11" s="37"/>
      <c r="C11" s="48"/>
      <c r="D11" s="49"/>
      <c r="E11" s="100"/>
      <c r="F11" s="100"/>
      <c r="G11" s="100"/>
      <c r="H11" s="100"/>
      <c r="I11" s="100"/>
      <c r="J11" s="100"/>
      <c r="K11" s="100"/>
      <c r="L11" s="49"/>
      <c r="M11" s="39"/>
      <c r="N11" s="61"/>
      <c r="O11" s="61"/>
    </row>
    <row r="12" spans="1:23" ht="15.75" thickBot="1" x14ac:dyDescent="0.3">
      <c r="A12" s="61"/>
      <c r="B12" s="37"/>
      <c r="C12" s="48"/>
      <c r="D12" s="49"/>
      <c r="E12" s="100"/>
      <c r="F12" s="112" t="s">
        <v>142</v>
      </c>
      <c r="G12" s="100"/>
      <c r="H12" s="100"/>
      <c r="I12" s="100"/>
      <c r="J12" s="100"/>
      <c r="K12" s="100"/>
      <c r="L12" s="49"/>
      <c r="M12" s="39"/>
      <c r="N12" s="61"/>
      <c r="O12" s="61"/>
    </row>
    <row r="13" spans="1:23" ht="15.75" thickBot="1" x14ac:dyDescent="0.3">
      <c r="A13" s="61"/>
      <c r="B13" s="37"/>
      <c r="C13" s="48"/>
      <c r="D13" s="49"/>
      <c r="E13" s="113" t="s">
        <v>161</v>
      </c>
      <c r="F13" s="156" t="s">
        <v>195</v>
      </c>
      <c r="G13" s="157"/>
      <c r="H13" s="157"/>
      <c r="I13" s="157"/>
      <c r="J13" s="158"/>
      <c r="K13" s="100"/>
      <c r="L13" s="49"/>
      <c r="M13" s="39"/>
      <c r="N13" s="61"/>
      <c r="O13" s="61"/>
    </row>
    <row r="14" spans="1:23" ht="15.75" thickBot="1" x14ac:dyDescent="0.3">
      <c r="A14" s="61"/>
      <c r="B14" s="37"/>
      <c r="C14" s="48"/>
      <c r="D14" s="49"/>
      <c r="E14" s="100"/>
      <c r="F14" s="112" t="s">
        <v>176</v>
      </c>
      <c r="G14" s="100"/>
      <c r="H14" s="100"/>
      <c r="I14" s="100"/>
      <c r="J14" s="100"/>
      <c r="K14" s="100"/>
      <c r="L14" s="49"/>
      <c r="M14" s="39"/>
      <c r="N14" s="61"/>
      <c r="O14" s="61"/>
      <c r="T14"/>
      <c r="U14"/>
      <c r="V14"/>
      <c r="W14"/>
    </row>
    <row r="15" spans="1:23" ht="15.75" thickBot="1" x14ac:dyDescent="0.3">
      <c r="A15" s="61"/>
      <c r="B15" s="37"/>
      <c r="C15" s="48"/>
      <c r="D15" s="49"/>
      <c r="E15" s="118" t="s">
        <v>191</v>
      </c>
      <c r="F15" s="121" t="s">
        <v>173</v>
      </c>
      <c r="G15" s="100"/>
      <c r="H15" s="100"/>
      <c r="I15" s="100"/>
      <c r="J15" s="100"/>
      <c r="K15" s="100"/>
      <c r="L15" s="49"/>
      <c r="M15" s="39"/>
      <c r="N15" s="61"/>
      <c r="O15" s="61"/>
      <c r="T15"/>
      <c r="U15"/>
      <c r="V15"/>
      <c r="W15"/>
    </row>
    <row r="16" spans="1:23" x14ac:dyDescent="0.25">
      <c r="A16" s="61"/>
      <c r="B16" s="37"/>
      <c r="C16" s="48"/>
      <c r="D16" s="49"/>
      <c r="E16" s="100"/>
      <c r="F16" s="100"/>
      <c r="G16" s="100"/>
      <c r="H16" s="100"/>
      <c r="I16" s="100"/>
      <c r="J16" s="100"/>
      <c r="K16" s="100"/>
      <c r="L16" s="49"/>
      <c r="M16" s="39"/>
      <c r="N16" s="61"/>
      <c r="O16" s="61"/>
      <c r="T16"/>
      <c r="U16"/>
      <c r="V16"/>
      <c r="W16"/>
    </row>
    <row r="17" spans="1:15" ht="15.75" thickBot="1" x14ac:dyDescent="0.3">
      <c r="A17" s="61"/>
      <c r="B17" s="37"/>
      <c r="C17" s="49"/>
      <c r="D17" s="109" t="s">
        <v>136</v>
      </c>
      <c r="E17" s="109"/>
      <c r="F17" s="109"/>
      <c r="G17" s="66"/>
      <c r="H17" s="66"/>
      <c r="I17" s="66"/>
      <c r="J17" s="66"/>
      <c r="K17" s="66"/>
      <c r="L17" s="66"/>
      <c r="M17" s="39"/>
      <c r="N17" s="61"/>
      <c r="O17" s="61"/>
    </row>
    <row r="18" spans="1:15" ht="15.75" thickBot="1" x14ac:dyDescent="0.3">
      <c r="A18" s="61"/>
      <c r="B18" s="37"/>
      <c r="C18" s="49"/>
      <c r="D18" s="139" t="s">
        <v>155</v>
      </c>
      <c r="E18" s="140"/>
      <c r="F18" s="67">
        <v>135</v>
      </c>
      <c r="G18" s="66" t="s">
        <v>133</v>
      </c>
      <c r="H18" s="66"/>
      <c r="I18" s="66"/>
      <c r="J18" s="66"/>
      <c r="K18" s="66"/>
      <c r="L18" s="66"/>
      <c r="M18" s="39"/>
      <c r="N18" s="61"/>
      <c r="O18" s="61"/>
    </row>
    <row r="19" spans="1:15" ht="15.75" thickBot="1" x14ac:dyDescent="0.3">
      <c r="A19" s="61"/>
      <c r="B19" s="37"/>
      <c r="C19" s="49"/>
      <c r="D19" s="139" t="s">
        <v>156</v>
      </c>
      <c r="E19" s="140"/>
      <c r="F19" s="67">
        <v>135</v>
      </c>
      <c r="G19" s="66" t="s">
        <v>132</v>
      </c>
      <c r="H19" s="66"/>
      <c r="I19" s="66"/>
      <c r="J19" s="66"/>
      <c r="K19" s="66"/>
      <c r="L19" s="66"/>
      <c r="M19" s="39"/>
      <c r="N19" s="61"/>
      <c r="O19" s="61"/>
    </row>
    <row r="20" spans="1:15" x14ac:dyDescent="0.25">
      <c r="A20" s="61"/>
      <c r="B20" s="37"/>
      <c r="C20" s="49"/>
      <c r="D20" s="115"/>
      <c r="E20" s="66"/>
      <c r="F20" s="66"/>
      <c r="G20" s="66"/>
      <c r="H20" s="66"/>
      <c r="I20" s="66"/>
      <c r="J20" s="66"/>
      <c r="K20" s="66"/>
      <c r="L20" s="66"/>
      <c r="M20" s="39"/>
      <c r="N20" s="61"/>
      <c r="O20" s="61"/>
    </row>
    <row r="21" spans="1:15" ht="15.75" thickBot="1" x14ac:dyDescent="0.3">
      <c r="A21" s="61"/>
      <c r="B21" s="37"/>
      <c r="C21" s="49"/>
      <c r="D21" s="109" t="s">
        <v>145</v>
      </c>
      <c r="E21" s="109"/>
      <c r="F21" s="109"/>
      <c r="G21" s="109"/>
      <c r="H21" s="103"/>
      <c r="I21" s="103"/>
      <c r="J21" s="66"/>
      <c r="K21" s="66"/>
      <c r="L21" s="66"/>
      <c r="M21" s="39"/>
      <c r="N21" s="61"/>
      <c r="O21" s="61"/>
    </row>
    <row r="22" spans="1:15" ht="15.75" thickBot="1" x14ac:dyDescent="0.3">
      <c r="A22" s="61"/>
      <c r="B22" s="37"/>
      <c r="C22" s="49"/>
      <c r="D22" s="141" t="s">
        <v>163</v>
      </c>
      <c r="E22" s="142"/>
      <c r="F22" s="67">
        <v>200</v>
      </c>
      <c r="G22" s="66" t="s">
        <v>38</v>
      </c>
      <c r="H22" s="66"/>
      <c r="I22" s="66"/>
      <c r="J22" s="66"/>
      <c r="K22" s="66"/>
      <c r="L22" s="66"/>
      <c r="M22" s="39"/>
      <c r="N22" s="61"/>
      <c r="O22" s="61"/>
    </row>
    <row r="23" spans="1:15" ht="15.75" thickBot="1" x14ac:dyDescent="0.3">
      <c r="A23" s="61"/>
      <c r="B23" s="37"/>
      <c r="C23" s="49"/>
      <c r="D23" s="141" t="s">
        <v>164</v>
      </c>
      <c r="E23" s="142"/>
      <c r="F23" s="67">
        <v>200</v>
      </c>
      <c r="G23" s="66" t="s">
        <v>39</v>
      </c>
      <c r="H23" s="66"/>
      <c r="I23" s="66"/>
      <c r="J23" s="66"/>
      <c r="K23" s="66"/>
      <c r="L23" s="66"/>
      <c r="M23" s="39"/>
      <c r="N23" s="61"/>
      <c r="O23" s="61"/>
    </row>
    <row r="24" spans="1:15" ht="15.75" thickBot="1" x14ac:dyDescent="0.3">
      <c r="A24" s="61"/>
      <c r="B24" s="37"/>
      <c r="C24" s="48"/>
      <c r="D24" s="49"/>
      <c r="E24" s="100" t="s">
        <v>175</v>
      </c>
      <c r="F24" s="156" t="s">
        <v>182</v>
      </c>
      <c r="G24" s="157"/>
      <c r="H24" s="157"/>
      <c r="I24" s="157"/>
      <c r="J24" s="158"/>
      <c r="K24" s="49"/>
      <c r="L24" s="49"/>
      <c r="M24" s="39"/>
      <c r="N24" s="61"/>
      <c r="O24" s="61"/>
    </row>
    <row r="25" spans="1:15" ht="15.75" thickBot="1" x14ac:dyDescent="0.3">
      <c r="A25" s="61"/>
      <c r="B25" s="37"/>
      <c r="C25" s="49"/>
      <c r="D25" s="139" t="str">
        <f>IF(Dispo_Eff_ch=Ressources!B3,"εmodeFR (-)","ε(-)")</f>
        <v>εmodeFR (-)</v>
      </c>
      <c r="E25" s="140"/>
      <c r="F25" s="67">
        <v>0.75</v>
      </c>
      <c r="G25" s="66" t="str">
        <f>IF(OR(Dispo_eff_fr=Ressources!F3,Dispo_eff_fr=Ressources!F4,Dispo_eff_fr=Ressources!F5),"Efficacité de l'échangeur mesurée en mode refroidissement","Efficacité de l'échangeur mesurée en mode ventilation seule")</f>
        <v>Efficacité de l'échangeur mesurée en mode refroidissement</v>
      </c>
      <c r="H25" s="66"/>
      <c r="I25" s="66"/>
      <c r="J25" s="66"/>
      <c r="K25" s="66"/>
      <c r="L25" s="66"/>
      <c r="M25" s="39"/>
      <c r="N25" s="61"/>
      <c r="O25" s="61"/>
    </row>
    <row r="26" spans="1:15" x14ac:dyDescent="0.25">
      <c r="A26" s="61"/>
      <c r="B26" s="37"/>
      <c r="C26" s="49"/>
      <c r="D26" s="116"/>
      <c r="E26" s="116"/>
      <c r="F26" s="66"/>
      <c r="G26" s="66"/>
      <c r="H26" s="66"/>
      <c r="I26" s="66"/>
      <c r="J26" s="66"/>
      <c r="K26" s="66"/>
      <c r="L26" s="66"/>
      <c r="M26" s="39"/>
      <c r="N26" s="61"/>
      <c r="O26" s="61"/>
    </row>
    <row r="27" spans="1:15" ht="15.75" thickBot="1" x14ac:dyDescent="0.3">
      <c r="A27" s="61"/>
      <c r="B27" s="37"/>
      <c r="C27" s="49"/>
      <c r="D27" s="109" t="s">
        <v>187</v>
      </c>
      <c r="E27" s="109"/>
      <c r="F27" s="109"/>
      <c r="G27" s="109"/>
      <c r="H27" s="105"/>
      <c r="I27" s="105"/>
      <c r="J27" s="105"/>
      <c r="K27" s="66"/>
      <c r="L27" s="66"/>
      <c r="M27" s="39"/>
      <c r="N27" s="61"/>
      <c r="O27" s="61"/>
    </row>
    <row r="28" spans="1:15" ht="15.75" thickBot="1" x14ac:dyDescent="0.3">
      <c r="A28" s="61"/>
      <c r="B28" s="37"/>
      <c r="C28" s="49"/>
      <c r="D28" s="139" t="s">
        <v>165</v>
      </c>
      <c r="E28" s="140"/>
      <c r="F28" s="67">
        <v>100</v>
      </c>
      <c r="G28" s="66" t="s">
        <v>41</v>
      </c>
      <c r="H28" s="66"/>
      <c r="I28" s="66"/>
      <c r="J28" s="66"/>
      <c r="K28" s="66"/>
      <c r="L28" s="66"/>
      <c r="M28" s="39"/>
      <c r="N28" s="61"/>
      <c r="O28" s="61"/>
    </row>
    <row r="29" spans="1:15" ht="15.75" thickBot="1" x14ac:dyDescent="0.3">
      <c r="A29" s="61"/>
      <c r="B29" s="37"/>
      <c r="C29" s="49"/>
      <c r="D29" s="139" t="s">
        <v>166</v>
      </c>
      <c r="E29" s="140"/>
      <c r="F29" s="67"/>
      <c r="G29" s="66" t="s">
        <v>40</v>
      </c>
      <c r="H29" s="66"/>
      <c r="I29" s="66"/>
      <c r="J29" s="66"/>
      <c r="K29" s="66"/>
      <c r="L29" s="66"/>
      <c r="M29" s="39"/>
      <c r="N29" s="61"/>
      <c r="O29" s="61"/>
    </row>
    <row r="30" spans="1:15" ht="15.75" thickBot="1" x14ac:dyDescent="0.3">
      <c r="A30" s="61"/>
      <c r="B30" s="37"/>
      <c r="C30" s="49"/>
      <c r="D30" s="139" t="s">
        <v>139</v>
      </c>
      <c r="E30" s="140"/>
      <c r="F30" s="67">
        <v>0.75</v>
      </c>
      <c r="G30" s="66" t="s">
        <v>138</v>
      </c>
      <c r="H30" s="66"/>
      <c r="I30" s="66"/>
      <c r="J30" s="66"/>
      <c r="K30" s="66"/>
      <c r="L30" s="66"/>
      <c r="M30" s="39"/>
      <c r="N30" s="61"/>
      <c r="O30" s="61"/>
    </row>
    <row r="31" spans="1:15" x14ac:dyDescent="0.25">
      <c r="A31" s="61"/>
      <c r="B31" s="37"/>
      <c r="C31" s="49"/>
      <c r="D31" s="103"/>
      <c r="E31" s="103"/>
      <c r="F31" s="103"/>
      <c r="G31" s="103"/>
      <c r="H31" s="103"/>
      <c r="I31" s="66"/>
      <c r="J31" s="66"/>
      <c r="K31" s="66"/>
      <c r="L31" s="66"/>
      <c r="M31" s="39"/>
      <c r="N31" s="61"/>
      <c r="O31" s="61"/>
    </row>
    <row r="32" spans="1:15" ht="15.75" thickBot="1" x14ac:dyDescent="0.3">
      <c r="A32" s="61"/>
      <c r="B32" s="37"/>
      <c r="C32" s="49"/>
      <c r="D32" s="109" t="s">
        <v>149</v>
      </c>
      <c r="E32" s="109"/>
      <c r="F32" s="109"/>
      <c r="G32" s="109"/>
      <c r="H32" s="66"/>
      <c r="I32" s="66"/>
      <c r="J32" s="66"/>
      <c r="K32" s="66"/>
      <c r="L32" s="66"/>
      <c r="M32" s="39"/>
      <c r="N32" s="61"/>
      <c r="O32" s="61"/>
    </row>
    <row r="33" spans="1:18" ht="62.25" customHeight="1" thickBot="1" x14ac:dyDescent="0.3">
      <c r="A33" s="61"/>
      <c r="B33" s="37"/>
      <c r="C33" s="49"/>
      <c r="D33" s="141" t="s">
        <v>159</v>
      </c>
      <c r="E33" s="142"/>
      <c r="F33" s="67">
        <v>25</v>
      </c>
      <c r="G33" s="143" t="s">
        <v>150</v>
      </c>
      <c r="H33" s="144"/>
      <c r="I33" s="144"/>
      <c r="J33" s="144"/>
      <c r="K33" s="144"/>
      <c r="L33" s="66"/>
      <c r="M33" s="39"/>
      <c r="N33" s="61"/>
      <c r="O33" s="61"/>
    </row>
    <row r="34" spans="1:18" ht="64.5" customHeight="1" thickBot="1" x14ac:dyDescent="0.3">
      <c r="A34" s="61"/>
      <c r="B34" s="37"/>
      <c r="C34" s="49"/>
      <c r="D34" s="141" t="s">
        <v>160</v>
      </c>
      <c r="E34" s="142"/>
      <c r="F34" s="67">
        <v>25</v>
      </c>
      <c r="G34" s="143" t="s">
        <v>151</v>
      </c>
      <c r="H34" s="144"/>
      <c r="I34" s="144"/>
      <c r="J34" s="144"/>
      <c r="K34" s="144"/>
      <c r="L34" s="66"/>
      <c r="M34" s="39"/>
      <c r="N34" s="61"/>
      <c r="O34" s="61"/>
    </row>
    <row r="35" spans="1:18" x14ac:dyDescent="0.25">
      <c r="A35" s="61"/>
      <c r="B35" s="37"/>
      <c r="C35" s="49"/>
      <c r="D35" s="66"/>
      <c r="E35" s="66"/>
      <c r="F35" s="66"/>
      <c r="G35" s="66"/>
      <c r="H35" s="66"/>
      <c r="I35" s="66"/>
      <c r="J35" s="66"/>
      <c r="K35" s="66"/>
      <c r="L35" s="66"/>
      <c r="M35" s="39"/>
      <c r="N35" s="61"/>
      <c r="O35" s="61"/>
    </row>
    <row r="36" spans="1:18" x14ac:dyDescent="0.25">
      <c r="A36" s="61"/>
      <c r="B36" s="37"/>
      <c r="C36" s="48" t="s">
        <v>61</v>
      </c>
      <c r="D36" s="49"/>
      <c r="E36" s="49"/>
      <c r="F36" s="43" t="s">
        <v>97</v>
      </c>
      <c r="G36" s="49"/>
      <c r="H36" s="48" t="s">
        <v>154</v>
      </c>
      <c r="I36" s="49"/>
      <c r="J36" s="49"/>
      <c r="K36" s="43" t="s">
        <v>97</v>
      </c>
      <c r="L36" s="49"/>
      <c r="M36" s="39"/>
      <c r="N36" s="61"/>
      <c r="O36" s="61"/>
    </row>
    <row r="37" spans="1:18" x14ac:dyDescent="0.25">
      <c r="A37" s="61"/>
      <c r="B37" s="37"/>
      <c r="C37" s="50" t="s">
        <v>4</v>
      </c>
      <c r="D37" s="49"/>
      <c r="E37" s="49"/>
      <c r="F37" s="22">
        <v>27</v>
      </c>
      <c r="G37" s="49"/>
      <c r="H37" s="49" t="s">
        <v>3</v>
      </c>
      <c r="I37" s="49"/>
      <c r="J37" s="49"/>
      <c r="K37" s="22">
        <f>F37</f>
        <v>27</v>
      </c>
      <c r="L37" s="49"/>
      <c r="M37" s="39"/>
      <c r="N37" s="61"/>
      <c r="O37" s="61"/>
    </row>
    <row r="38" spans="1:18" ht="15.75" thickBot="1" x14ac:dyDescent="0.3">
      <c r="A38" s="61"/>
      <c r="B38" s="37"/>
      <c r="C38" s="49"/>
      <c r="D38" s="49"/>
      <c r="E38" s="22" t="s">
        <v>1</v>
      </c>
      <c r="F38" s="42">
        <v>1</v>
      </c>
      <c r="G38" s="49"/>
      <c r="H38" s="49"/>
      <c r="I38" s="49"/>
      <c r="J38" s="22" t="s">
        <v>1</v>
      </c>
      <c r="K38" s="42">
        <v>1</v>
      </c>
      <c r="L38" s="49"/>
      <c r="M38" s="39"/>
      <c r="N38" s="61"/>
      <c r="O38" s="61"/>
    </row>
    <row r="39" spans="1:18" ht="23.25" customHeight="1" thickBot="1" x14ac:dyDescent="0.3">
      <c r="A39" s="61"/>
      <c r="B39" s="37"/>
      <c r="C39" s="43" t="s">
        <v>96</v>
      </c>
      <c r="D39" s="22">
        <v>35</v>
      </c>
      <c r="E39" s="92" t="s">
        <v>24</v>
      </c>
      <c r="F39" s="80">
        <v>3.8</v>
      </c>
      <c r="G39" s="49"/>
      <c r="H39" s="43" t="s">
        <v>96</v>
      </c>
      <c r="I39" s="22">
        <f>D39</f>
        <v>35</v>
      </c>
      <c r="J39" s="92" t="s">
        <v>24</v>
      </c>
      <c r="K39" s="81">
        <v>0.8</v>
      </c>
      <c r="L39" s="49"/>
      <c r="M39" s="39"/>
      <c r="N39" s="61"/>
      <c r="O39" s="61"/>
    </row>
    <row r="40" spans="1:18" x14ac:dyDescent="0.25">
      <c r="A40" s="6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61"/>
      <c r="O40" s="61"/>
    </row>
    <row r="41" spans="1:18" ht="18.75" customHeight="1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1"/>
      <c r="O41" s="61"/>
    </row>
    <row r="42" spans="1:18" ht="18.75" customHeight="1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1"/>
      <c r="O42" s="61"/>
    </row>
    <row r="43" spans="1:18" ht="18.75" customHeight="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8" ht="37.5" customHeight="1" x14ac:dyDescent="0.25">
      <c r="A44" s="62"/>
      <c r="B44" s="150" t="s">
        <v>84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47"/>
      <c r="N44" s="62"/>
      <c r="O44" s="62"/>
      <c r="P44" s="49"/>
      <c r="Q44" s="49"/>
      <c r="R44" s="49"/>
    </row>
    <row r="45" spans="1:18" s="11" customFormat="1" x14ac:dyDescent="0.25">
      <c r="A45" s="62"/>
      <c r="B45" s="120" t="s">
        <v>192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39"/>
      <c r="N45" s="62"/>
      <c r="O45" s="61"/>
      <c r="P45" s="49"/>
      <c r="Q45" s="49"/>
      <c r="R45" s="49"/>
    </row>
    <row r="46" spans="1:18" s="11" customFormat="1" x14ac:dyDescent="0.25">
      <c r="A46" s="62"/>
      <c r="B46" s="37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39"/>
      <c r="N46" s="62"/>
      <c r="O46" s="61"/>
      <c r="P46" s="49"/>
      <c r="Q46" s="49"/>
      <c r="R46" s="49"/>
    </row>
    <row r="47" spans="1:18" x14ac:dyDescent="0.25">
      <c r="A47" s="62"/>
      <c r="B47" s="37"/>
      <c r="C47" s="79" t="str">
        <f>IF(Is_OK_fr=0,"/!\: Le présent outil n'est pas nécessaire en l'absence d'échangeur ou de débits de recyclage de part et d'autre de","")</f>
        <v/>
      </c>
      <c r="D47" s="49"/>
      <c r="E47" s="49"/>
      <c r="F47" s="49"/>
      <c r="G47" s="49"/>
      <c r="H47" s="49"/>
      <c r="I47" s="49"/>
      <c r="J47" s="49"/>
      <c r="K47" s="49"/>
      <c r="L47" s="49"/>
      <c r="M47" s="39"/>
      <c r="N47" s="62"/>
      <c r="O47" s="61"/>
      <c r="P47" s="49"/>
      <c r="Q47" s="49"/>
      <c r="R47" s="49"/>
    </row>
    <row r="48" spans="1:18" x14ac:dyDescent="0.25">
      <c r="A48" s="62"/>
      <c r="B48" s="37"/>
      <c r="C48" s="79" t="str">
        <f>IF(Is_OK_fr=0,"de la pompe à chaleur.","")</f>
        <v/>
      </c>
      <c r="D48" s="49"/>
      <c r="E48" s="49"/>
      <c r="F48" s="49"/>
      <c r="G48" s="49"/>
      <c r="H48" s="49"/>
      <c r="I48" s="49"/>
      <c r="J48" s="49"/>
      <c r="K48" s="49"/>
      <c r="L48" s="49"/>
      <c r="M48" s="39"/>
      <c r="N48" s="62"/>
      <c r="O48" s="61"/>
      <c r="P48" s="49"/>
      <c r="Q48" s="49"/>
      <c r="R48" s="49"/>
    </row>
    <row r="49" spans="1:18" x14ac:dyDescent="0.25">
      <c r="A49" s="62"/>
      <c r="B49" s="37"/>
      <c r="C49" s="79"/>
      <c r="D49" s="49"/>
      <c r="E49" s="49"/>
      <c r="F49" s="49"/>
      <c r="G49" s="49"/>
      <c r="H49" s="49"/>
      <c r="I49" s="49"/>
      <c r="J49" s="49"/>
      <c r="K49" s="49"/>
      <c r="L49" s="49"/>
      <c r="M49" s="39"/>
      <c r="N49" s="62"/>
      <c r="O49" s="61"/>
      <c r="P49" s="49"/>
      <c r="Q49" s="49"/>
      <c r="R49" s="49"/>
    </row>
    <row r="50" spans="1:18" s="11" customFormat="1" x14ac:dyDescent="0.25">
      <c r="A50" s="62"/>
      <c r="B50" s="37"/>
      <c r="C50" s="54" t="s">
        <v>62</v>
      </c>
      <c r="D50" s="55"/>
      <c r="E50" s="55"/>
      <c r="F50" s="145" t="s">
        <v>0</v>
      </c>
      <c r="G50" s="146"/>
      <c r="H50" s="146"/>
      <c r="I50" s="147"/>
      <c r="J50" s="49"/>
      <c r="K50" s="49"/>
      <c r="L50" s="49"/>
      <c r="M50" s="39"/>
      <c r="N50" s="62"/>
      <c r="O50" s="62"/>
      <c r="P50" s="49"/>
      <c r="Q50" s="49"/>
      <c r="R50" s="49"/>
    </row>
    <row r="51" spans="1:18" s="11" customFormat="1" x14ac:dyDescent="0.25">
      <c r="A51" s="62"/>
      <c r="B51" s="37"/>
      <c r="C51" s="56" t="s">
        <v>4</v>
      </c>
      <c r="D51" s="55"/>
      <c r="E51" s="55"/>
      <c r="F51" s="27">
        <v>22</v>
      </c>
      <c r="G51" s="27">
        <v>27</v>
      </c>
      <c r="H51" s="27">
        <v>32</v>
      </c>
      <c r="I51" s="27">
        <v>37</v>
      </c>
      <c r="J51" s="49"/>
      <c r="K51" s="49"/>
      <c r="L51" s="49"/>
      <c r="M51" s="39"/>
      <c r="N51" s="62"/>
      <c r="O51" s="62"/>
      <c r="P51" s="49"/>
      <c r="Q51" s="49"/>
      <c r="R51" s="49"/>
    </row>
    <row r="52" spans="1:18" s="11" customFormat="1" x14ac:dyDescent="0.25">
      <c r="A52" s="62"/>
      <c r="B52" s="37"/>
      <c r="C52" s="55"/>
      <c r="D52" s="55"/>
      <c r="E52" s="57" t="s">
        <v>1</v>
      </c>
      <c r="F52" s="95">
        <v>3</v>
      </c>
      <c r="G52" s="95">
        <v>1</v>
      </c>
      <c r="H52" s="95">
        <v>2</v>
      </c>
      <c r="I52" s="95">
        <v>4</v>
      </c>
      <c r="J52" s="49"/>
      <c r="K52" s="49"/>
      <c r="L52" s="49"/>
      <c r="M52" s="39"/>
      <c r="N52" s="62"/>
      <c r="O52" s="62"/>
      <c r="P52" s="49"/>
      <c r="Q52" s="49"/>
      <c r="R52" s="49"/>
    </row>
    <row r="53" spans="1:18" s="11" customFormat="1" ht="15" customHeight="1" x14ac:dyDescent="0.25">
      <c r="A53" s="62"/>
      <c r="B53" s="37"/>
      <c r="C53" s="148" t="s">
        <v>98</v>
      </c>
      <c r="D53" s="27">
        <v>5</v>
      </c>
      <c r="E53" s="95">
        <v>5</v>
      </c>
      <c r="F53" s="40">
        <f>IF(AND(Is_OK_fr=1,Statut_fr&lt;&gt;Ressources!$B$9),'Calcul refroidissement'!F93,"")</f>
        <v>3.0265567735377239</v>
      </c>
      <c r="G53" s="40">
        <f>IF(AND(Is_OK_fr=1,Statut_fr&lt;&gt;Ressources!$B$9),'Calcul refroidissement'!G93,"")</f>
        <v>2.7798266017819335</v>
      </c>
      <c r="H53" s="40">
        <f>IF(AND(Is_OK_fr=1,Statut_fr&lt;&gt;Ressources!$B$9),'Calcul refroidissement'!H93,"")</f>
        <v>2.5330964300261485</v>
      </c>
      <c r="I53" s="40">
        <f>IF(AND(Is_OK_fr=1,Statut_fr&lt;&gt;Ressources!$B$9),'Calcul refroidissement'!I93,"")</f>
        <v>2.2863662582703554</v>
      </c>
      <c r="J53" s="49"/>
      <c r="K53" s="49"/>
      <c r="L53" s="49"/>
      <c r="M53" s="39"/>
      <c r="N53" s="62"/>
      <c r="O53" s="62"/>
      <c r="P53" s="49"/>
      <c r="Q53" s="49"/>
      <c r="R53" s="49"/>
    </row>
    <row r="54" spans="1:18" s="11" customFormat="1" x14ac:dyDescent="0.25">
      <c r="A54" s="62"/>
      <c r="B54" s="37"/>
      <c r="C54" s="149"/>
      <c r="D54" s="27">
        <v>15</v>
      </c>
      <c r="E54" s="95">
        <v>4</v>
      </c>
      <c r="F54" s="40">
        <f>IF(AND(Is_OK_fr=1,Statut_fr&lt;&gt;Ressources!$B$9),'Calcul refroidissement'!F94,"")</f>
        <v>3.5606550276914479</v>
      </c>
      <c r="G54" s="40">
        <f>IF(AND(Is_OK_fr=1,Statut_fr&lt;&gt;Ressources!$B$9),'Calcul refroidissement'!G94,"")</f>
        <v>3.2703842373905152</v>
      </c>
      <c r="H54" s="40">
        <f>IF(AND(Is_OK_fr=1,Statut_fr&lt;&gt;Ressources!$B$9),'Calcul refroidissement'!H94,"")</f>
        <v>2.9801134470895825</v>
      </c>
      <c r="I54" s="40">
        <f>IF(AND(Is_OK_fr=1,Statut_fr&lt;&gt;Ressources!$B$9),'Calcul refroidissement'!I94,"")</f>
        <v>2.6898426567886506</v>
      </c>
      <c r="J54" s="49"/>
      <c r="K54" s="49"/>
      <c r="L54" s="49"/>
      <c r="M54" s="39"/>
      <c r="N54" s="62"/>
      <c r="O54" s="62"/>
      <c r="P54" s="49"/>
      <c r="Q54" s="49"/>
      <c r="R54" s="49"/>
    </row>
    <row r="55" spans="1:18" s="11" customFormat="1" x14ac:dyDescent="0.25">
      <c r="A55" s="62"/>
      <c r="B55" s="37"/>
      <c r="C55" s="149"/>
      <c r="D55" s="27">
        <v>25</v>
      </c>
      <c r="E55" s="95">
        <v>2</v>
      </c>
      <c r="F55" s="40">
        <f>IF(AND(Is_OK_fr=1,Statut_fr&lt;&gt;Ressources!$B$9),'Calcul refroidissement'!F95,"")</f>
        <v>4.0947532818451702</v>
      </c>
      <c r="G55" s="40">
        <f>IF(AND(Is_OK_fr=1,Statut_fr&lt;&gt;Ressources!$B$9),'Calcul refroidissement'!G95,"")</f>
        <v>3.7609418729990964</v>
      </c>
      <c r="H55" s="40">
        <f>IF(AND(Is_OK_fr=1,Statut_fr&lt;&gt;Ressources!$B$9),'Calcul refroidissement'!H95,"")</f>
        <v>3.4271304641530231</v>
      </c>
      <c r="I55" s="40">
        <f>IF(AND(Is_OK_fr=1,Statut_fr&lt;&gt;Ressources!$B$9),'Calcul refroidissement'!I95,"")</f>
        <v>3.093319055306949</v>
      </c>
      <c r="J55" s="49"/>
      <c r="K55" s="49"/>
      <c r="L55" s="49"/>
      <c r="M55" s="39"/>
      <c r="N55" s="62"/>
      <c r="O55" s="62"/>
      <c r="P55" s="49"/>
      <c r="Q55" s="49"/>
      <c r="R55" s="49"/>
    </row>
    <row r="56" spans="1:18" s="11" customFormat="1" x14ac:dyDescent="0.25">
      <c r="A56" s="62"/>
      <c r="B56" s="37"/>
      <c r="C56" s="149"/>
      <c r="D56" s="27">
        <v>35</v>
      </c>
      <c r="E56" s="95">
        <v>1</v>
      </c>
      <c r="F56" s="40">
        <f>IF(AND(Is_OK_fr=1,Statut_fr&lt;&gt;Ressources!$B$9),'Calcul refroidissement'!F96,"")</f>
        <v>4.6288515359988889</v>
      </c>
      <c r="G56" s="40">
        <f>IF(Is_OK_fr=1,'Calcul refroidissement'!G96,"")</f>
        <v>4.2514995086076759</v>
      </c>
      <c r="H56" s="40">
        <f>IF(AND(Is_OK_fr=1,Statut_fr&lt;&gt;Ressources!$B$9),'Calcul refroidissement'!H96,"")</f>
        <v>3.8741474812164629</v>
      </c>
      <c r="I56" s="40">
        <f>IF(AND(Is_OK_fr=1,Statut_fr&lt;&gt;Ressources!$B$9),'Calcul refroidissement'!I96,"")</f>
        <v>3.4967954538252481</v>
      </c>
      <c r="J56" s="49"/>
      <c r="K56" s="49"/>
      <c r="L56" s="49"/>
      <c r="M56" s="39"/>
      <c r="N56" s="62"/>
      <c r="O56" s="62"/>
      <c r="P56" s="49"/>
      <c r="Q56" s="49"/>
      <c r="R56" s="49"/>
    </row>
    <row r="57" spans="1:18" s="11" customFormat="1" x14ac:dyDescent="0.25">
      <c r="A57" s="62"/>
      <c r="B57" s="37"/>
      <c r="C57" s="149"/>
      <c r="D57" s="27">
        <v>45</v>
      </c>
      <c r="E57" s="95">
        <v>3</v>
      </c>
      <c r="F57" s="40">
        <f>IF(AND(Is_OK_fr=1,Statut_fr&lt;&gt;Ressources!$B$9),'Calcul refroidissement'!F97,"")</f>
        <v>5.1629497901526058</v>
      </c>
      <c r="G57" s="40">
        <f>IF(AND(Is_OK_fr=1,Statut_fr&lt;&gt;Ressources!$B$9),'Calcul refroidissement'!G97,"")</f>
        <v>4.7420571442162567</v>
      </c>
      <c r="H57" s="40">
        <f>IF(AND(Is_OK_fr=1,Statut_fr&lt;&gt;Ressources!$B$9),'Calcul refroidissement'!H97,"")</f>
        <v>4.3211644982798987</v>
      </c>
      <c r="I57" s="40">
        <f>IF(AND(Is_OK_fr=1,Statut_fr&lt;&gt;Ressources!$B$9),'Calcul refroidissement'!I97,"")</f>
        <v>3.9002718523435469</v>
      </c>
      <c r="J57" s="49"/>
      <c r="K57" s="49"/>
      <c r="L57" s="49"/>
      <c r="M57" s="39"/>
      <c r="N57" s="62"/>
      <c r="O57" s="62"/>
      <c r="P57" s="49"/>
      <c r="Q57" s="49"/>
      <c r="R57" s="49"/>
    </row>
    <row r="58" spans="1:18" s="11" customFormat="1" x14ac:dyDescent="0.25">
      <c r="A58" s="62"/>
      <c r="B58" s="3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39"/>
      <c r="N58" s="62"/>
      <c r="O58" s="62"/>
      <c r="P58" s="49"/>
      <c r="Q58" s="49"/>
      <c r="R58" s="49"/>
    </row>
    <row r="59" spans="1:18" s="11" customFormat="1" x14ac:dyDescent="0.25">
      <c r="A59" s="62"/>
      <c r="B59" s="37"/>
      <c r="C59" s="54" t="s">
        <v>2</v>
      </c>
      <c r="D59" s="55"/>
      <c r="E59" s="55"/>
      <c r="F59" s="145" t="s">
        <v>0</v>
      </c>
      <c r="G59" s="146"/>
      <c r="H59" s="146"/>
      <c r="I59" s="147"/>
      <c r="J59" s="49"/>
      <c r="K59" s="49"/>
      <c r="L59" s="49"/>
      <c r="M59" s="39"/>
      <c r="N59" s="62"/>
      <c r="O59" s="62"/>
      <c r="P59" s="49"/>
      <c r="Q59" s="49"/>
      <c r="R59" s="49"/>
    </row>
    <row r="60" spans="1:18" s="11" customFormat="1" x14ac:dyDescent="0.25">
      <c r="A60" s="62"/>
      <c r="B60" s="37"/>
      <c r="C60" s="56" t="s">
        <v>3</v>
      </c>
      <c r="D60" s="55"/>
      <c r="E60" s="55"/>
      <c r="F60" s="27">
        <f>F51</f>
        <v>22</v>
      </c>
      <c r="G60" s="27">
        <f>G51</f>
        <v>27</v>
      </c>
      <c r="H60" s="27">
        <f>H51</f>
        <v>32</v>
      </c>
      <c r="I60" s="27">
        <f>I51</f>
        <v>37</v>
      </c>
      <c r="J60" s="49"/>
      <c r="K60" s="49"/>
      <c r="L60" s="49"/>
      <c r="M60" s="39"/>
      <c r="N60" s="62"/>
      <c r="O60" s="62"/>
      <c r="P60" s="49"/>
      <c r="Q60" s="49"/>
      <c r="R60" s="49"/>
    </row>
    <row r="61" spans="1:18" s="11" customFormat="1" ht="15" customHeight="1" x14ac:dyDescent="0.25">
      <c r="A61" s="62"/>
      <c r="B61" s="37"/>
      <c r="C61" s="55"/>
      <c r="D61" s="55"/>
      <c r="E61" s="57" t="s">
        <v>1</v>
      </c>
      <c r="F61" s="95">
        <v>3</v>
      </c>
      <c r="G61" s="95">
        <v>1</v>
      </c>
      <c r="H61" s="95">
        <v>2</v>
      </c>
      <c r="I61" s="95">
        <v>4</v>
      </c>
      <c r="J61" s="49"/>
      <c r="K61" s="49"/>
      <c r="L61" s="49"/>
      <c r="M61" s="39"/>
      <c r="N61" s="62"/>
      <c r="O61" s="62"/>
      <c r="P61" s="49"/>
      <c r="Q61" s="49"/>
      <c r="R61" s="49"/>
    </row>
    <row r="62" spans="1:18" s="11" customFormat="1" ht="15" customHeight="1" x14ac:dyDescent="0.25">
      <c r="A62" s="62"/>
      <c r="B62" s="37"/>
      <c r="C62" s="148" t="s">
        <v>98</v>
      </c>
      <c r="D62" s="27">
        <f>D53</f>
        <v>5</v>
      </c>
      <c r="E62" s="95">
        <v>5</v>
      </c>
      <c r="F62" s="40">
        <f>IF(AND(Is_OK_fr=1,Statut_fr&lt;&gt;Ressources!$B$9),'Calcul refroidissement'!O93,"")</f>
        <v>0.63555197534162833</v>
      </c>
      <c r="G62" s="40">
        <f>IF(AND(Is_OK_fr=1,Statut_fr&lt;&gt;Ressources!$B$9),'Calcul refroidissement'!P93,"")</f>
        <v>0.60528759556345424</v>
      </c>
      <c r="H62" s="40">
        <f>IF(AND(Is_OK_fr=1,Statut_fr&lt;&gt;Ressources!$B$9),'Calcul refroidissement'!Q93,"")</f>
        <v>0.57502321578528015</v>
      </c>
      <c r="I62" s="40">
        <f>IF(AND(Is_OK_fr=1,Statut_fr&lt;&gt;Ressources!$B$9),'Calcul refroidissement'!R93,"")</f>
        <v>0.54475883600710784</v>
      </c>
      <c r="J62" s="49"/>
      <c r="K62" s="49"/>
      <c r="L62" s="49"/>
      <c r="M62" s="39"/>
      <c r="N62" s="62"/>
      <c r="O62" s="62"/>
      <c r="P62" s="49"/>
      <c r="Q62" s="49"/>
      <c r="R62" s="49"/>
    </row>
    <row r="63" spans="1:18" s="11" customFormat="1" x14ac:dyDescent="0.25">
      <c r="A63" s="62"/>
      <c r="B63" s="37"/>
      <c r="C63" s="149"/>
      <c r="D63" s="27">
        <f>D54</f>
        <v>15</v>
      </c>
      <c r="E63" s="95">
        <v>4</v>
      </c>
      <c r="F63" s="40">
        <f>IF(AND(Is_OK_fr=1,Statut_fr&lt;&gt;Ressources!$B$9),'Calcul refroidissement'!O94,"")</f>
        <v>0.74770820628426593</v>
      </c>
      <c r="G63" s="40">
        <f>IF(AND(Is_OK_fr=1,Statut_fr&lt;&gt;Ressources!$B$9),'Calcul refroidissement'!P94,"")</f>
        <v>0.71210305360406367</v>
      </c>
      <c r="H63" s="40">
        <f>IF(AND(Is_OK_fr=1,Statut_fr&lt;&gt;Ressources!$B$9),'Calcul refroidissement'!Q94,"")</f>
        <v>0.67649790092385986</v>
      </c>
      <c r="I63" s="40">
        <f>IF(AND(Is_OK_fr=1,Statut_fr&lt;&gt;Ressources!$B$9),'Calcul refroidissement'!R94,"")</f>
        <v>0.64089274824365594</v>
      </c>
      <c r="J63" s="49"/>
      <c r="K63" s="49"/>
      <c r="L63" s="49"/>
      <c r="M63" s="39"/>
      <c r="N63" s="62"/>
      <c r="O63" s="62"/>
      <c r="P63" s="49"/>
      <c r="Q63" s="49"/>
      <c r="R63" s="49"/>
    </row>
    <row r="64" spans="1:18" s="11" customFormat="1" x14ac:dyDescent="0.25">
      <c r="A64" s="62"/>
      <c r="B64" s="37"/>
      <c r="C64" s="149"/>
      <c r="D64" s="27">
        <f>D55</f>
        <v>25</v>
      </c>
      <c r="E64" s="95">
        <v>2</v>
      </c>
      <c r="F64" s="40">
        <f>IF(AND(Is_OK_fr=1,Statut_fr&lt;&gt;Ressources!$B$9),'Calcul refroidissement'!O95,"")</f>
        <v>0.85986443722690464</v>
      </c>
      <c r="G64" s="40">
        <f>IF(AND(Is_OK_fr=1,Statut_fr&lt;&gt;Ressources!$B$9),'Calcul refroidissement'!P95,"")</f>
        <v>0.81891851164467111</v>
      </c>
      <c r="H64" s="40">
        <f>IF(AND(Is_OK_fr=1,Statut_fr&lt;&gt;Ressources!$B$9),'Calcul refroidissement'!Q95,"")</f>
        <v>0.77797258606243758</v>
      </c>
      <c r="I64" s="40">
        <f>IF(AND(Is_OK_fr=1,Statut_fr&lt;&gt;Ressources!$B$9),'Calcul refroidissement'!R95,"")</f>
        <v>0.73702666048020393</v>
      </c>
      <c r="J64" s="49"/>
      <c r="K64" s="49"/>
      <c r="L64" s="49"/>
      <c r="M64" s="39"/>
      <c r="N64" s="62"/>
      <c r="O64" s="62"/>
      <c r="P64" s="49"/>
      <c r="Q64" s="49"/>
      <c r="R64" s="49"/>
    </row>
    <row r="65" spans="1:15" s="11" customFormat="1" x14ac:dyDescent="0.25">
      <c r="A65" s="62"/>
      <c r="B65" s="37"/>
      <c r="C65" s="149"/>
      <c r="D65" s="27">
        <f>D56</f>
        <v>35</v>
      </c>
      <c r="E65" s="95">
        <v>1</v>
      </c>
      <c r="F65" s="40">
        <f>IF(AND(Is_OK_fr=1,Statut_fr&lt;&gt;Ressources!$B$9),'Calcul refroidissement'!O96,"")</f>
        <v>0.97202066816954424</v>
      </c>
      <c r="G65" s="40">
        <f>IF(Is_OK_fr=1,'Calcul refroidissement'!P96,"")</f>
        <v>0.92573396968528077</v>
      </c>
      <c r="H65" s="40">
        <f>IF(AND(Is_OK_fr=1,Statut_fr&lt;&gt;Ressources!$B$9),'Calcul refroidissement'!Q96,"")</f>
        <v>0.87944727120101618</v>
      </c>
      <c r="I65" s="40">
        <f>IF(AND(Is_OK_fr=1,Statut_fr&lt;&gt;Ressources!$B$9),'Calcul refroidissement'!R96,"")</f>
        <v>0.83316057271675237</v>
      </c>
      <c r="J65" s="49"/>
      <c r="K65" s="49"/>
      <c r="L65" s="49"/>
      <c r="M65" s="39"/>
      <c r="N65" s="62"/>
      <c r="O65" s="62"/>
    </row>
    <row r="66" spans="1:15" s="11" customFormat="1" x14ac:dyDescent="0.25">
      <c r="A66" s="62"/>
      <c r="B66" s="37"/>
      <c r="C66" s="149"/>
      <c r="D66" s="27">
        <f>D57</f>
        <v>45</v>
      </c>
      <c r="E66" s="95">
        <v>3</v>
      </c>
      <c r="F66" s="40">
        <f>IF(AND(Is_OK_fr=1,Statut_fr&lt;&gt;Ressources!$B$9),'Calcul refroidissement'!O97,"")</f>
        <v>1.084176899112185</v>
      </c>
      <c r="G66" s="40">
        <f>IF(AND(Is_OK_fr=1,Statut_fr&lt;&gt;Ressources!$B$9),'Calcul refroidissement'!P97,"")</f>
        <v>1.0325494277258915</v>
      </c>
      <c r="H66" s="40">
        <f>IF(AND(Is_OK_fr=1,Statut_fr&lt;&gt;Ressources!$B$9),'Calcul refroidissement'!Q97,"")</f>
        <v>0.98092195633959633</v>
      </c>
      <c r="I66" s="40">
        <f>IF(AND(Is_OK_fr=1,Statut_fr&lt;&gt;Ressources!$B$9),'Calcul refroidissement'!R97,"")</f>
        <v>0.92929448495330025</v>
      </c>
      <c r="J66" s="49"/>
      <c r="K66" s="49"/>
      <c r="L66" s="49"/>
      <c r="M66" s="39"/>
      <c r="N66" s="62"/>
      <c r="O66" s="62"/>
    </row>
    <row r="67" spans="1:15" s="11" customFormat="1" x14ac:dyDescent="0.25">
      <c r="A67" s="62"/>
      <c r="B67" s="37"/>
      <c r="C67" s="84"/>
      <c r="D67" s="85"/>
      <c r="E67" s="49"/>
      <c r="F67" s="49"/>
      <c r="G67" s="49"/>
      <c r="H67" s="49"/>
      <c r="I67" s="49"/>
      <c r="J67" s="49"/>
      <c r="K67" s="49"/>
      <c r="L67" s="49"/>
      <c r="M67" s="39"/>
      <c r="N67" s="62"/>
      <c r="O67" s="62"/>
    </row>
    <row r="68" spans="1:15" s="11" customFormat="1" x14ac:dyDescent="0.25">
      <c r="A68" s="61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  <c r="N68" s="61"/>
      <c r="O68" s="61"/>
    </row>
    <row r="69" spans="1:15" s="11" customFormat="1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15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</sheetData>
  <sheetProtection sheet="1" objects="1" scenarios="1"/>
  <mergeCells count="23">
    <mergeCell ref="C62:C66"/>
    <mergeCell ref="B44:L44"/>
    <mergeCell ref="D22:E22"/>
    <mergeCell ref="D28:E28"/>
    <mergeCell ref="D29:E29"/>
    <mergeCell ref="F50:I50"/>
    <mergeCell ref="D23:E23"/>
    <mergeCell ref="F24:J24"/>
    <mergeCell ref="D33:E33"/>
    <mergeCell ref="D34:E34"/>
    <mergeCell ref="C53:C57"/>
    <mergeCell ref="F59:I59"/>
    <mergeCell ref="G33:K33"/>
    <mergeCell ref="D25:E25"/>
    <mergeCell ref="A1:N1"/>
    <mergeCell ref="A2:N2"/>
    <mergeCell ref="G34:K34"/>
    <mergeCell ref="D30:E30"/>
    <mergeCell ref="D19:E19"/>
    <mergeCell ref="B5:M5"/>
    <mergeCell ref="F10:K10"/>
    <mergeCell ref="F13:J13"/>
    <mergeCell ref="D18:E18"/>
  </mergeCells>
  <dataValidations count="3">
    <dataValidation type="list" allowBlank="1" showInputMessage="1" showErrorMessage="1" sqref="F15">
      <formula1>Statuts_VS</formula1>
    </dataValidation>
    <dataValidation type="list" allowBlank="1" showInputMessage="1" showErrorMessage="1" sqref="F24:J24">
      <formula1>Statuts_fr</formula1>
    </dataValidation>
    <dataValidation type="list" allowBlank="1" showInputMessage="1" showErrorMessage="1" sqref="F13:J13">
      <formula1>Modes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AF108"/>
  <sheetViews>
    <sheetView workbookViewId="0">
      <selection activeCell="O31" sqref="O31"/>
    </sheetView>
  </sheetViews>
  <sheetFormatPr baseColWidth="10" defaultColWidth="9.140625" defaultRowHeight="15" x14ac:dyDescent="0.25"/>
  <cols>
    <col min="1" max="2" width="9.140625" style="11" customWidth="1"/>
    <col min="3" max="3" width="8.42578125" style="11" customWidth="1"/>
    <col min="4" max="4" width="9" style="11" customWidth="1"/>
    <col min="5" max="5" width="7.140625" style="11" customWidth="1"/>
    <col min="6" max="6" width="8.28515625" style="11" customWidth="1"/>
    <col min="7" max="9" width="7.140625" style="11" customWidth="1"/>
    <col min="10" max="10" width="6.85546875" style="11" customWidth="1"/>
    <col min="11" max="11" width="7.7109375" style="11" customWidth="1"/>
    <col min="12" max="12" width="9.28515625" style="11" customWidth="1"/>
    <col min="13" max="17" width="7.140625" style="11" customWidth="1"/>
    <col min="18" max="18" width="8.42578125" style="11" customWidth="1"/>
    <col min="19" max="19" width="7.42578125" style="11" customWidth="1"/>
    <col min="20" max="23" width="7.140625" style="11" customWidth="1"/>
    <col min="24" max="28" width="7.28515625" style="11" customWidth="1"/>
    <col min="29" max="29" width="8.42578125" style="11" customWidth="1"/>
    <col min="30" max="31" width="6.7109375" style="11" customWidth="1"/>
    <col min="32" max="32" width="7.28515625" style="11" customWidth="1"/>
    <col min="33" max="43" width="6.42578125" customWidth="1"/>
    <col min="44" max="44" width="10.85546875" customWidth="1"/>
    <col min="45" max="52" width="6.42578125" customWidth="1"/>
  </cols>
  <sheetData>
    <row r="2" spans="2:6" ht="15.75" customHeight="1" x14ac:dyDescent="0.25">
      <c r="B2" s="19" t="s">
        <v>47</v>
      </c>
      <c r="E2" s="19"/>
    </row>
    <row r="3" spans="2:6" ht="15.75" customHeight="1" x14ac:dyDescent="0.25">
      <c r="B3" s="109" t="s">
        <v>134</v>
      </c>
      <c r="C3" s="109"/>
      <c r="D3" s="109"/>
      <c r="E3" s="19"/>
    </row>
    <row r="4" spans="2:6" ht="15.75" customHeight="1" x14ac:dyDescent="0.25">
      <c r="D4" s="20" t="s">
        <v>126</v>
      </c>
      <c r="E4" s="114">
        <f>MIN('Mode chauffage'!F25*VLOOKUP(Statut_ch,Ressources!B7:D9,2,FALSE),VLOOKUP(Statut_ch,Ressources!B7:D9,3,FALSE))</f>
        <v>0.67500000000000004</v>
      </c>
      <c r="F4" s="11" t="s">
        <v>127</v>
      </c>
    </row>
    <row r="5" spans="2:6" ht="15.75" customHeight="1" x14ac:dyDescent="0.25">
      <c r="D5" s="20" t="s">
        <v>130</v>
      </c>
      <c r="E5" s="114">
        <f>$E$4*(1-0.4*LN('Mode chauffage'!F22/'Mode chauffage'!F18))</f>
        <v>0.56887850121040606</v>
      </c>
      <c r="F5" s="11" t="s">
        <v>131</v>
      </c>
    </row>
    <row r="6" spans="2:6" ht="15.75" customHeight="1" x14ac:dyDescent="0.25">
      <c r="D6" s="20" t="s">
        <v>189</v>
      </c>
      <c r="E6" s="114">
        <f>IF(Dispo_Eff_ch=Ressources!B3,$E$4,$E$5)</f>
        <v>0.67500000000000004</v>
      </c>
      <c r="F6" s="11" t="s">
        <v>129</v>
      </c>
    </row>
    <row r="7" spans="2:6" ht="15.75" customHeight="1" x14ac:dyDescent="0.25">
      <c r="D7" s="20"/>
      <c r="E7" s="114"/>
    </row>
    <row r="8" spans="2:6" ht="15" customHeight="1" x14ac:dyDescent="0.25">
      <c r="B8" s="109" t="s">
        <v>140</v>
      </c>
      <c r="C8" s="109"/>
      <c r="D8" s="109"/>
      <c r="E8" s="114"/>
    </row>
    <row r="9" spans="2:6" ht="15.75" customHeight="1" x14ac:dyDescent="0.25">
      <c r="D9" s="20" t="s">
        <v>190</v>
      </c>
      <c r="E9" s="114">
        <f>MIN('Mode chauffage'!F31*VLOOKUP(Statut_ch,Ressources!B7:D9,2,FALSE),VLOOKUP(Statut_ch,Ressources!B7:D9,3,FALSE))</f>
        <v>0.67500000000000004</v>
      </c>
      <c r="F9" s="11" t="s">
        <v>188</v>
      </c>
    </row>
    <row r="10" spans="2:6" ht="15.75" customHeight="1" x14ac:dyDescent="0.25">
      <c r="D10" s="20"/>
      <c r="E10" s="106"/>
    </row>
    <row r="11" spans="2:6" ht="15.75" customHeight="1" x14ac:dyDescent="0.25">
      <c r="D11" s="20" t="s">
        <v>128</v>
      </c>
      <c r="E11" s="106">
        <f>IF(Id_mode_ch=Ressources!B12,E6,E9)</f>
        <v>0.67500000000000004</v>
      </c>
      <c r="F11" s="11" t="s">
        <v>141</v>
      </c>
    </row>
    <row r="12" spans="2:6" ht="15.75" customHeight="1" x14ac:dyDescent="0.25">
      <c r="D12" s="20" t="s">
        <v>155</v>
      </c>
      <c r="E12" s="12">
        <f>IF(Id_mode_ch=Ressources!B12,'Mode chauffage'!F22,'Mode chauffage'!F18)</f>
        <v>135</v>
      </c>
      <c r="F12" s="11" t="s">
        <v>38</v>
      </c>
    </row>
    <row r="13" spans="2:6" ht="15.75" customHeight="1" x14ac:dyDescent="0.25">
      <c r="D13" s="41" t="s">
        <v>169</v>
      </c>
      <c r="E13" s="12">
        <f>IF(Id_mode_ch=Ressources!B12,0,'Mode chauffage'!F28)</f>
        <v>100</v>
      </c>
      <c r="F13" s="11" t="s">
        <v>41</v>
      </c>
    </row>
    <row r="14" spans="2:6" ht="15.75" customHeight="1" x14ac:dyDescent="0.25">
      <c r="D14" s="20" t="s">
        <v>156</v>
      </c>
      <c r="E14" s="12">
        <f>IF(Id_mode_ch=Ressources!B12,'Mode chauffage'!F23,'Mode chauffage'!F19)</f>
        <v>135</v>
      </c>
      <c r="F14" s="11" t="s">
        <v>39</v>
      </c>
    </row>
    <row r="15" spans="2:6" ht="15.75" customHeight="1" x14ac:dyDescent="0.25">
      <c r="D15" s="41" t="s">
        <v>170</v>
      </c>
      <c r="E15" s="12">
        <f>IF(Id_mode_ch=Ressources!B12,0,'Mode chauffage'!F29)</f>
        <v>0</v>
      </c>
      <c r="F15" s="11" t="s">
        <v>40</v>
      </c>
    </row>
    <row r="16" spans="2:6" ht="15.75" customHeight="1" x14ac:dyDescent="0.25">
      <c r="D16" s="20" t="s">
        <v>89</v>
      </c>
      <c r="E16" s="12">
        <f>'Mode chauffage'!F34</f>
        <v>24</v>
      </c>
      <c r="F16" s="11" t="s">
        <v>54</v>
      </c>
    </row>
    <row r="17" spans="3:32" ht="15.75" customHeight="1" x14ac:dyDescent="0.25">
      <c r="D17" s="20" t="s">
        <v>88</v>
      </c>
      <c r="E17" s="12">
        <f>'Mode chauffage'!F35</f>
        <v>24</v>
      </c>
      <c r="F17" s="11" t="s">
        <v>55</v>
      </c>
      <c r="Y17"/>
      <c r="Z17"/>
      <c r="AA17"/>
      <c r="AB17"/>
      <c r="AC17"/>
      <c r="AD17"/>
      <c r="AE17"/>
      <c r="AF17"/>
    </row>
    <row r="18" spans="3:32" ht="15.75" customHeight="1" x14ac:dyDescent="0.25">
      <c r="D18" s="20"/>
      <c r="E18" s="12"/>
      <c r="Y18"/>
      <c r="Z18"/>
      <c r="AA18"/>
      <c r="AB18"/>
      <c r="AC18"/>
      <c r="AD18"/>
      <c r="AE18"/>
      <c r="AF18"/>
    </row>
    <row r="19" spans="3:32" ht="15.75" customHeight="1" x14ac:dyDescent="0.25">
      <c r="D19" s="20" t="s">
        <v>94</v>
      </c>
      <c r="E19" s="38">
        <f>IF('Mode chauffage'!$F$38="","",'Mode chauffage'!$F$38)</f>
        <v>-99</v>
      </c>
      <c r="F19" s="144" t="s">
        <v>79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Y19"/>
      <c r="Z19"/>
      <c r="AA19"/>
      <c r="AB19"/>
      <c r="AC19"/>
      <c r="AD19"/>
      <c r="AE19"/>
      <c r="AF19"/>
    </row>
    <row r="20" spans="3:32" ht="15.75" customHeight="1" x14ac:dyDescent="0.25">
      <c r="D20" s="20"/>
      <c r="E20" s="12"/>
      <c r="Y20"/>
      <c r="Z20"/>
      <c r="AA20"/>
      <c r="AB20"/>
      <c r="AC20"/>
      <c r="AD20"/>
      <c r="AE20"/>
      <c r="AF20"/>
    </row>
    <row r="21" spans="3:32" ht="15.75" customHeight="1" x14ac:dyDescent="0.25">
      <c r="D21" s="20" t="s">
        <v>78</v>
      </c>
      <c r="E21" s="12">
        <f>IF(Qsouf=0,0,IF(OR(AND(Id_mode_ch=Ressources!B12,Eff_ech_ch=0),AND(Id_mode_ch=Ressources!B13,Qrecycl_souf=0)),0,1))</f>
        <v>1</v>
      </c>
      <c r="F21" s="11" t="s">
        <v>77</v>
      </c>
      <c r="Y21"/>
      <c r="Z21"/>
      <c r="AA21"/>
      <c r="AB21"/>
      <c r="AC21"/>
      <c r="AD21"/>
      <c r="AE21"/>
      <c r="AF21"/>
    </row>
    <row r="22" spans="3:32" ht="15.75" customHeight="1" x14ac:dyDescent="0.25">
      <c r="D22" s="20"/>
      <c r="E22" s="12"/>
      <c r="Y22"/>
      <c r="Z22"/>
      <c r="AA22"/>
      <c r="AB22"/>
      <c r="AC22"/>
      <c r="AD22"/>
      <c r="AE22"/>
      <c r="AF22"/>
    </row>
    <row r="23" spans="3:32" ht="15.75" customHeight="1" x14ac:dyDescent="0.25">
      <c r="D23" s="20" t="s">
        <v>113</v>
      </c>
      <c r="E23" s="11">
        <v>20</v>
      </c>
      <c r="Y23"/>
      <c r="Z23"/>
      <c r="AA23"/>
      <c r="AB23"/>
      <c r="AC23"/>
      <c r="AD23"/>
      <c r="AE23"/>
      <c r="AF23"/>
    </row>
    <row r="24" spans="3:32" ht="15.75" customHeight="1" x14ac:dyDescent="0.25">
      <c r="D24" s="20" t="s">
        <v>29</v>
      </c>
      <c r="E24" s="11">
        <v>1.2</v>
      </c>
      <c r="Y24"/>
      <c r="Z24"/>
      <c r="AA24"/>
      <c r="AB24"/>
      <c r="AC24"/>
      <c r="AD24"/>
      <c r="AE24"/>
      <c r="AF24"/>
    </row>
    <row r="25" spans="3:32" ht="15.75" customHeight="1" x14ac:dyDescent="0.25">
      <c r="D25" s="20" t="s">
        <v>27</v>
      </c>
      <c r="E25" s="11">
        <v>1006</v>
      </c>
      <c r="Y25"/>
      <c r="Z25"/>
      <c r="AA25"/>
      <c r="AB25"/>
      <c r="AC25"/>
      <c r="AD25"/>
      <c r="AE25"/>
      <c r="AF25"/>
    </row>
    <row r="26" spans="3:32" ht="15.75" customHeight="1" x14ac:dyDescent="0.25">
      <c r="D26" s="20"/>
      <c r="X26"/>
      <c r="Y26"/>
      <c r="Z26"/>
      <c r="AA26"/>
      <c r="AB26"/>
      <c r="AC26"/>
      <c r="AD26"/>
      <c r="AE26"/>
      <c r="AF26"/>
    </row>
    <row r="27" spans="3:32" ht="18" customHeight="1" x14ac:dyDescent="0.25">
      <c r="C27" s="19" t="s">
        <v>22</v>
      </c>
      <c r="F27" s="43" t="s">
        <v>111</v>
      </c>
      <c r="H27" s="19" t="s">
        <v>23</v>
      </c>
      <c r="K27" s="43" t="s">
        <v>111</v>
      </c>
      <c r="U27" s="26"/>
      <c r="V27" s="26"/>
      <c r="W27" s="26"/>
      <c r="X27"/>
      <c r="Y27"/>
      <c r="Z27"/>
      <c r="AA27"/>
      <c r="AB27"/>
      <c r="AC27"/>
      <c r="AD27"/>
      <c r="AE27"/>
      <c r="AF27"/>
    </row>
    <row r="28" spans="3:32" ht="15.75" customHeight="1" x14ac:dyDescent="0.25">
      <c r="C28" s="21" t="s">
        <v>4</v>
      </c>
      <c r="F28" s="22">
        <v>20</v>
      </c>
      <c r="H28" s="11" t="s">
        <v>3</v>
      </c>
      <c r="K28" s="22">
        <v>20</v>
      </c>
      <c r="X28"/>
      <c r="Y28"/>
      <c r="Z28"/>
      <c r="AA28"/>
      <c r="AB28"/>
      <c r="AC28"/>
      <c r="AD28"/>
      <c r="AE28"/>
      <c r="AF28"/>
    </row>
    <row r="29" spans="3:32" ht="15.75" customHeight="1" x14ac:dyDescent="0.25">
      <c r="E29" s="22" t="s">
        <v>1</v>
      </c>
      <c r="F29" s="23">
        <v>1</v>
      </c>
      <c r="J29" s="22" t="s">
        <v>1</v>
      </c>
      <c r="K29" s="23">
        <v>1</v>
      </c>
      <c r="M29" s="26"/>
      <c r="X29"/>
      <c r="Y29"/>
      <c r="Z29"/>
      <c r="AA29"/>
      <c r="AB29"/>
      <c r="AC29"/>
      <c r="AD29"/>
      <c r="AE29"/>
      <c r="AF29"/>
    </row>
    <row r="30" spans="3:32" ht="15.75" customHeight="1" x14ac:dyDescent="0.25">
      <c r="C30" s="136" t="s">
        <v>112</v>
      </c>
      <c r="D30" s="22">
        <v>-7</v>
      </c>
      <c r="E30" s="23" t="s">
        <v>25</v>
      </c>
      <c r="F30" s="24" t="str">
        <f>IF('Mode chauffage'!F43="","",'Mode chauffage'!F43)</f>
        <v/>
      </c>
      <c r="H30" s="136" t="s">
        <v>112</v>
      </c>
      <c r="I30" s="22">
        <v>-7</v>
      </c>
      <c r="J30" s="23" t="s">
        <v>25</v>
      </c>
      <c r="K30" s="25" t="str">
        <f>IF('Mode chauffage'!K43="","",'Mode chauffage'!K43)</f>
        <v/>
      </c>
      <c r="M30" s="26"/>
      <c r="X30"/>
      <c r="Y30"/>
      <c r="Z30"/>
      <c r="AA30"/>
      <c r="AB30"/>
      <c r="AC30"/>
      <c r="AD30"/>
      <c r="AE30"/>
      <c r="AF30"/>
    </row>
    <row r="31" spans="3:32" ht="15.75" customHeight="1" x14ac:dyDescent="0.25">
      <c r="C31" s="137"/>
      <c r="D31" s="22">
        <v>2</v>
      </c>
      <c r="E31" s="23" t="s">
        <v>25</v>
      </c>
      <c r="F31" s="24" t="str">
        <f>IF('Mode chauffage'!F44="","",'Mode chauffage'!F44)</f>
        <v/>
      </c>
      <c r="H31" s="137"/>
      <c r="I31" s="22">
        <v>2</v>
      </c>
      <c r="J31" s="23" t="s">
        <v>25</v>
      </c>
      <c r="K31" s="25" t="str">
        <f>IF('Mode chauffage'!K44="","",'Mode chauffage'!K44)</f>
        <v/>
      </c>
      <c r="M31" s="26"/>
      <c r="X31"/>
      <c r="Y31"/>
      <c r="Z31"/>
      <c r="AA31"/>
      <c r="AB31"/>
      <c r="AC31"/>
      <c r="AD31"/>
      <c r="AE31"/>
      <c r="AF31"/>
    </row>
    <row r="32" spans="3:32" ht="15.75" customHeight="1" x14ac:dyDescent="0.25">
      <c r="C32" s="138"/>
      <c r="D32" s="22">
        <v>7</v>
      </c>
      <c r="E32" s="23" t="s">
        <v>24</v>
      </c>
      <c r="F32" s="24">
        <f>IF('Mode chauffage'!F45="","",'Mode chauffage'!F45)</f>
        <v>3.8</v>
      </c>
      <c r="H32" s="138"/>
      <c r="I32" s="22">
        <v>7</v>
      </c>
      <c r="J32" s="23" t="s">
        <v>24</v>
      </c>
      <c r="K32" s="25">
        <f>IF('Mode chauffage'!K45="","",'Mode chauffage'!K45)</f>
        <v>0.8</v>
      </c>
      <c r="M32" s="26"/>
      <c r="X32"/>
      <c r="Y32"/>
      <c r="Z32"/>
      <c r="AA32"/>
      <c r="AB32"/>
      <c r="AC32"/>
      <c r="AD32"/>
      <c r="AE32"/>
      <c r="AF32"/>
    </row>
    <row r="33" spans="2:32" ht="15.75" customHeight="1" x14ac:dyDescent="0.25">
      <c r="X33"/>
      <c r="Y33"/>
      <c r="Z33"/>
      <c r="AA33"/>
      <c r="AB33"/>
      <c r="AC33"/>
      <c r="AD33"/>
      <c r="AE33"/>
      <c r="AF33"/>
    </row>
    <row r="34" spans="2:32" ht="30.75" customHeight="1" x14ac:dyDescent="0.25">
      <c r="B34" s="164" t="s">
        <v>85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X34"/>
      <c r="Y34"/>
      <c r="Z34"/>
      <c r="AA34"/>
      <c r="AB34"/>
      <c r="AC34"/>
      <c r="AD34"/>
      <c r="AE34"/>
      <c r="AF34"/>
    </row>
    <row r="35" spans="2:32" ht="15.7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X35"/>
      <c r="Y35"/>
      <c r="Z35"/>
      <c r="AA35"/>
      <c r="AB35"/>
      <c r="AC35"/>
      <c r="AD35"/>
      <c r="AE35"/>
      <c r="AF35"/>
    </row>
    <row r="36" spans="2:32" ht="15.75" customHeight="1" x14ac:dyDescent="0.25">
      <c r="D36" s="20" t="s">
        <v>112</v>
      </c>
      <c r="E36" s="28">
        <v>-15</v>
      </c>
      <c r="F36" s="29">
        <v>-7</v>
      </c>
      <c r="G36" s="29">
        <v>2</v>
      </c>
      <c r="H36" s="29">
        <v>7</v>
      </c>
      <c r="I36" s="30">
        <v>20</v>
      </c>
      <c r="M36" s="20" t="s">
        <v>94</v>
      </c>
      <c r="N36" s="86">
        <f>E19</f>
        <v>-99</v>
      </c>
      <c r="X36"/>
      <c r="Y36"/>
      <c r="Z36"/>
      <c r="AA36"/>
      <c r="AB36"/>
      <c r="AC36"/>
      <c r="AD36"/>
      <c r="AE36"/>
      <c r="AF36"/>
    </row>
    <row r="37" spans="2:32" ht="15.75" customHeight="1" x14ac:dyDescent="0.25">
      <c r="D37" s="20" t="s">
        <v>114</v>
      </c>
      <c r="E37" s="7">
        <v>20</v>
      </c>
      <c r="F37" s="8">
        <v>20</v>
      </c>
      <c r="G37" s="8">
        <v>20</v>
      </c>
      <c r="H37" s="8">
        <v>20</v>
      </c>
      <c r="I37" s="9">
        <v>20</v>
      </c>
      <c r="M37" s="20" t="s">
        <v>114</v>
      </c>
      <c r="N37" s="87">
        <f>IF(E19="","",20)</f>
        <v>20</v>
      </c>
      <c r="X37"/>
      <c r="Y37"/>
      <c r="Z37"/>
      <c r="AA37"/>
      <c r="AB37"/>
      <c r="AC37"/>
      <c r="AD37"/>
      <c r="AE37"/>
      <c r="AF37"/>
    </row>
    <row r="38" spans="2:32" ht="15.75" customHeight="1" x14ac:dyDescent="0.25">
      <c r="D38" s="20" t="s">
        <v>168</v>
      </c>
      <c r="E38" s="14">
        <f>Qsouf*Rho_ref*(273+T_ref)/(273+E36)</f>
        <v>183.97674418604652</v>
      </c>
      <c r="F38" s="13">
        <f>Qsouf*Rho_ref*(273+T_ref)/(273+F36)</f>
        <v>178.44360902255639</v>
      </c>
      <c r="G38" s="13">
        <f>Qsouf*Rho_ref*(273+T_ref)/(273+G36)</f>
        <v>172.60363636363635</v>
      </c>
      <c r="H38" s="13">
        <f>Qsouf*Rho_ref*(273+T_ref)/(273+H36)</f>
        <v>169.52142857142857</v>
      </c>
      <c r="I38" s="15">
        <f>Qsouf*Rho_ref*(273+T_ref)/(273+I36)</f>
        <v>162</v>
      </c>
      <c r="M38" s="20" t="s">
        <v>43</v>
      </c>
      <c r="N38" s="88">
        <f>IF(E19="","",Qsouf*Rho_ref*(273+T_ref)/(273+N36))</f>
        <v>272.79310344827587</v>
      </c>
      <c r="X38"/>
      <c r="Y38"/>
      <c r="Z38"/>
      <c r="AA38"/>
      <c r="AB38"/>
      <c r="AC38"/>
      <c r="AD38"/>
      <c r="AE38"/>
      <c r="AF38"/>
    </row>
    <row r="39" spans="2:32" ht="15.75" customHeight="1" x14ac:dyDescent="0.25">
      <c r="D39" s="20" t="s">
        <v>167</v>
      </c>
      <c r="E39" s="14">
        <f>Qrecycl_souf*Rho_ref*(273+T_ref)/(273+E37)</f>
        <v>120</v>
      </c>
      <c r="F39" s="13">
        <f>Qrecycl_souf*Rho_ref*(273+T_ref)/(273+F37)</f>
        <v>120</v>
      </c>
      <c r="G39" s="13">
        <f>Qrecycl_souf*Rho_ref*(273+T_ref)/(273+G37)</f>
        <v>120</v>
      </c>
      <c r="H39" s="13">
        <f>Qrecycl_souf*Rho_ref*(273+T_ref)/(273+H37)</f>
        <v>120</v>
      </c>
      <c r="I39" s="15">
        <f>Qrecycl_souf*Rho_ref*(273+T_ref)/(273+I37)</f>
        <v>120</v>
      </c>
      <c r="M39" s="20" t="s">
        <v>44</v>
      </c>
      <c r="N39" s="88">
        <f>IF(E19="","",Qrecycl_souf*Rho_ref*(273+T_ref)/(273+N37))</f>
        <v>120</v>
      </c>
      <c r="X39"/>
      <c r="Y39"/>
      <c r="Z39"/>
      <c r="AA39"/>
      <c r="AB39"/>
      <c r="AC39"/>
      <c r="AD39"/>
      <c r="AE39"/>
      <c r="AF39"/>
    </row>
    <row r="40" spans="2:32" ht="15.75" customHeight="1" x14ac:dyDescent="0.25">
      <c r="D40" s="20" t="s">
        <v>45</v>
      </c>
      <c r="E40" s="14">
        <f>Qrep*Rho_ref*(273+T_ref)/(273+E37)</f>
        <v>162</v>
      </c>
      <c r="F40" s="13">
        <f>Qrep*Rho_ref*(273+T_ref)/(273+F37)</f>
        <v>162</v>
      </c>
      <c r="G40" s="13">
        <f>Qrep*Rho_ref*(273+T_ref)/(273+G37)</f>
        <v>162</v>
      </c>
      <c r="H40" s="13">
        <f>Qrep*Rho_ref*(273+T_ref)/(273+H37)</f>
        <v>162</v>
      </c>
      <c r="I40" s="15">
        <f>Qrep*Rho_ref*(273+T_ref)/(273+I37)</f>
        <v>162</v>
      </c>
      <c r="M40" s="20" t="s">
        <v>45</v>
      </c>
      <c r="N40" s="88">
        <f>IF(E19="","",Qrep*Rho_ref*(273+T_ref)/(273+N37))</f>
        <v>162</v>
      </c>
      <c r="X40"/>
      <c r="Y40"/>
      <c r="Z40"/>
      <c r="AA40"/>
      <c r="AB40"/>
      <c r="AC40"/>
      <c r="AD40"/>
      <c r="AE40"/>
      <c r="AF40"/>
    </row>
    <row r="41" spans="2:32" ht="15.75" customHeight="1" x14ac:dyDescent="0.25">
      <c r="D41" s="20" t="s">
        <v>46</v>
      </c>
      <c r="E41" s="14">
        <f>Qrecycl_rep*Rho_ref*(273+T_ref)/(273+E36)</f>
        <v>0</v>
      </c>
      <c r="F41" s="13">
        <f>Qrecycl_rep*Rho_ref*(273+T_ref)/(273+F36)</f>
        <v>0</v>
      </c>
      <c r="G41" s="13">
        <f>Qrecycl_rep*Rho_ref*(273+T_ref)/(273+G36)</f>
        <v>0</v>
      </c>
      <c r="H41" s="13">
        <f>Qrecycl_rep*Rho_ref*(273+T_ref)/(273+H36)</f>
        <v>0</v>
      </c>
      <c r="I41" s="15">
        <f>Qrecycl_rep*Rho_ref*(273+T_ref)/(273+I36)</f>
        <v>0</v>
      </c>
      <c r="M41" s="20" t="s">
        <v>46</v>
      </c>
      <c r="N41" s="88">
        <f>IF(E19="","",Qrecycl_rep*Rho_ref*(273+T_ref)/(273+N36))</f>
        <v>0</v>
      </c>
      <c r="X41"/>
      <c r="Y41"/>
      <c r="Z41"/>
      <c r="AA41"/>
      <c r="AB41"/>
      <c r="AC41"/>
      <c r="AD41"/>
      <c r="AE41"/>
      <c r="AF41"/>
    </row>
    <row r="42" spans="2:32" ht="15.75" customHeight="1" x14ac:dyDescent="0.25">
      <c r="D42" s="20" t="s">
        <v>101</v>
      </c>
      <c r="E42" s="7">
        <f>(E38*(E36+Eff_ech_ch*(E37-E36))+E39*E37)/(E38+E39)+3600*Wsouf/(Rho_ref*Cp*(E38+E39))</f>
        <v>13.350922637231466</v>
      </c>
      <c r="F42" s="8">
        <f>(F38*(F36+Eff_ech_ch*(F37-F36))+F39*F37)/(F38+F39)+3600*Wsouf/(Rho_ref*Cp*(F38+F39))</f>
        <v>14.993117468569283</v>
      </c>
      <c r="G42" s="8">
        <f>(G38*(G36+Eff_ech_ch*(G37-G36))+G39*G37)/(G38+G39)+3600*Wsouf/(Rho_ref*Cp*(G38+G39))</f>
        <v>16.793749018824194</v>
      </c>
      <c r="H42" s="8">
        <f>(H38*(H36+Eff_ech_ch*(H37-H36))+H39*H37)/(H38+H39)+3600*Wsouf/(Rho_ref*Cp*(H38+H39))</f>
        <v>17.773368754242362</v>
      </c>
      <c r="I42" s="9">
        <f>(I38*(I36+Eff_ech_ch*(I37-I36))+I39*I37)/(I38+I39)+3600*Wsouf/(Rho_ref*Cp*(I38+I39))</f>
        <v>20.2537963707119</v>
      </c>
      <c r="M42" s="20" t="s">
        <v>101</v>
      </c>
      <c r="N42" s="89">
        <f>IF(E19="","",(N38*(N36+Eff_ech_ch*(N37-N36))+N39*N37)/(N38+N39)+3600*Wsouf/(Rho_ref*Cp*(N38+N39)))</f>
        <v>-6.6774100851828715</v>
      </c>
      <c r="X42"/>
      <c r="Y42"/>
      <c r="Z42"/>
      <c r="AA42"/>
      <c r="AB42"/>
      <c r="AC42"/>
      <c r="AD42"/>
      <c r="AE42"/>
      <c r="AF42"/>
    </row>
    <row r="43" spans="2:32" ht="15.75" customHeight="1" x14ac:dyDescent="0.25">
      <c r="D43" s="20" t="s">
        <v>100</v>
      </c>
      <c r="E43" s="7">
        <f>(E40*(E37-Eff_ech_ch*(E37-E36))+E41*E36)/(E40+E41)+3600*Wrep/(Rho_ref*Cp*(E40+E41))</f>
        <v>-3.1832063176496574</v>
      </c>
      <c r="F43" s="8">
        <f>(F40*(F37-Eff_ech_ch*(F37-F36))+F41*F36)/(F40+F41)+3600*Wrep/(Rho_ref*Cp*(F40+F41))</f>
        <v>2.2167936823503411</v>
      </c>
      <c r="G43" s="8">
        <f>(G40*(G37-Eff_ech_ch*(G37-G36))+G41*G36)/(G40+G41)+3600*Wrep/(Rho_ref*Cp*(G40+G41))</f>
        <v>8.2917936823503435</v>
      </c>
      <c r="H43" s="8">
        <f>(H40*(H37-Eff_ech_ch*(H37-H36))+H41*H36)/(H40+H41)+3600*Wrep/(Rho_ref*Cp*(H40+H41))</f>
        <v>11.666793682350342</v>
      </c>
      <c r="I43" s="9">
        <f>(I40*(I37-Eff_ech_ch*(I37-I36))+I41*I36)/(I40+I41)+3600*Wrep/(Rho_ref*Cp*(I40+I41))</f>
        <v>20.441793682350344</v>
      </c>
      <c r="M43" s="20" t="s">
        <v>115</v>
      </c>
      <c r="N43" s="59">
        <f>IF(E19="","",(N40*(N37-Eff_ech_ch*(N37-N36))+N41*N36)/(N40+N41)+3600*Wrep/(Rho_ref*Cp*(N40+N41)))</f>
        <v>-59.883206317649652</v>
      </c>
      <c r="X43"/>
      <c r="Y43"/>
      <c r="Z43"/>
      <c r="AA43"/>
      <c r="AB43"/>
      <c r="AC43"/>
      <c r="AD43"/>
      <c r="AE43"/>
      <c r="AF43"/>
    </row>
    <row r="44" spans="2:32" ht="15.75" customHeight="1" x14ac:dyDescent="0.25">
      <c r="D44" s="20" t="s">
        <v>86</v>
      </c>
      <c r="E44" s="4"/>
      <c r="F44" s="2" t="str">
        <f>IF(F30="","",F30)</f>
        <v/>
      </c>
      <c r="G44" s="2" t="str">
        <f>IF(F31="","",F31)</f>
        <v/>
      </c>
      <c r="H44" s="2">
        <f>IF(F32="","",F32)</f>
        <v>3.8</v>
      </c>
      <c r="I44" s="3"/>
      <c r="X44"/>
      <c r="Y44"/>
      <c r="Z44"/>
      <c r="AA44"/>
      <c r="AB44"/>
      <c r="AC44"/>
      <c r="AD44"/>
      <c r="AE44"/>
      <c r="AF44"/>
    </row>
    <row r="45" spans="2:32" ht="15.75" customHeight="1" x14ac:dyDescent="0.25">
      <c r="D45" s="20" t="s">
        <v>23</v>
      </c>
      <c r="E45" s="4"/>
      <c r="F45" s="2" t="str">
        <f>IF(K30="","",K30)</f>
        <v/>
      </c>
      <c r="G45" s="2" t="str">
        <f>IF(K31="","",K31)</f>
        <v/>
      </c>
      <c r="H45" s="2">
        <f>IF(K32="","",K32)</f>
        <v>0.8</v>
      </c>
      <c r="I45" s="3"/>
      <c r="X45"/>
      <c r="Y45"/>
      <c r="Z45"/>
      <c r="AA45"/>
      <c r="AB45"/>
      <c r="AC45"/>
      <c r="AD45"/>
      <c r="AE45"/>
      <c r="AF45"/>
    </row>
    <row r="46" spans="2:32" ht="15.75" customHeight="1" x14ac:dyDescent="0.25">
      <c r="D46" s="20" t="s">
        <v>33</v>
      </c>
      <c r="E46" s="4"/>
      <c r="F46" s="2" t="str">
        <f>IF(F45="","",F44*F45)</f>
        <v/>
      </c>
      <c r="G46" s="2" t="str">
        <f>IF(G45="","",G44*G45)</f>
        <v/>
      </c>
      <c r="H46" s="2">
        <f>IF(H45="","",H44*H45)</f>
        <v>3.04</v>
      </c>
      <c r="I46" s="3"/>
      <c r="X46"/>
      <c r="Y46"/>
      <c r="Z46"/>
      <c r="AA46"/>
      <c r="AB46"/>
      <c r="AC46"/>
      <c r="AD46"/>
      <c r="AE46"/>
      <c r="AF46"/>
    </row>
    <row r="47" spans="2:32" ht="15.75" customHeight="1" x14ac:dyDescent="0.25">
      <c r="D47" s="20" t="s">
        <v>34</v>
      </c>
      <c r="E47" s="4"/>
      <c r="F47" s="2">
        <f>1/1000*1/3600*F38*Cp*(Eff_ech_ch*(F37-F36))</f>
        <v>0.9087909953007518</v>
      </c>
      <c r="G47" s="2">
        <f>1/1000*1/3600*G38*Cp*(Eff_ech_ch*(G37-G36))</f>
        <v>0.58603249636363641</v>
      </c>
      <c r="H47" s="2">
        <f>1/1000*1/3600*H38*Cp*(Eff_ech_ch*(H37-H36))</f>
        <v>0.41568773303571427</v>
      </c>
      <c r="I47" s="3"/>
      <c r="X47"/>
      <c r="Y47"/>
      <c r="Z47"/>
      <c r="AA47"/>
      <c r="AB47"/>
      <c r="AC47"/>
      <c r="AD47"/>
      <c r="AE47"/>
      <c r="AF47"/>
    </row>
    <row r="48" spans="2:32" ht="15.75" customHeight="1" x14ac:dyDescent="0.25">
      <c r="D48" s="20" t="s">
        <v>87</v>
      </c>
      <c r="E48" s="16"/>
      <c r="F48" s="17" t="str">
        <f>IF(F45="","",F46-F47)</f>
        <v/>
      </c>
      <c r="G48" s="17" t="str">
        <f>IF(G45="","",G46-G47)</f>
        <v/>
      </c>
      <c r="H48" s="17">
        <f>IF(H45="","",H46-H47)</f>
        <v>2.624312266964286</v>
      </c>
      <c r="I48" s="18"/>
      <c r="X48"/>
      <c r="Y48"/>
      <c r="Z48"/>
      <c r="AA48"/>
      <c r="AB48"/>
      <c r="AC48"/>
      <c r="AD48"/>
      <c r="AE48"/>
      <c r="AF48"/>
    </row>
    <row r="49" spans="2:32" ht="15.75" customHeight="1" x14ac:dyDescent="0.25">
      <c r="D49" s="20" t="s">
        <v>90</v>
      </c>
      <c r="E49" s="16"/>
      <c r="F49" s="17" t="str">
        <f>IF(F45="","",F46/F45)</f>
        <v/>
      </c>
      <c r="G49" s="17" t="str">
        <f>IF(G45="","",G46/G45)</f>
        <v/>
      </c>
      <c r="H49" s="17">
        <f>IF(H45="","",H48/H45)</f>
        <v>3.2803903337053573</v>
      </c>
      <c r="I49" s="18"/>
      <c r="X49"/>
      <c r="Y49"/>
      <c r="Z49"/>
      <c r="AA49"/>
      <c r="AB49"/>
      <c r="AC49"/>
      <c r="AD49"/>
      <c r="AE49"/>
      <c r="AF49"/>
    </row>
    <row r="50" spans="2:32" ht="15.75" customHeight="1" x14ac:dyDescent="0.25">
      <c r="D50" s="20"/>
      <c r="E50" s="2"/>
      <c r="F50" s="2"/>
      <c r="G50" s="2"/>
      <c r="H50" s="2"/>
      <c r="I50" s="2"/>
      <c r="X50"/>
      <c r="Y50"/>
      <c r="Z50"/>
      <c r="AA50"/>
      <c r="AB50"/>
      <c r="AC50"/>
      <c r="AD50"/>
      <c r="AE50"/>
      <c r="AF50"/>
    </row>
    <row r="51" spans="2:32" ht="15.75" customHeight="1" x14ac:dyDescent="0.25">
      <c r="B51" s="19" t="s">
        <v>56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X51"/>
      <c r="Y51"/>
      <c r="Z51"/>
      <c r="AA51"/>
      <c r="AB51"/>
      <c r="AC51"/>
      <c r="AD51"/>
      <c r="AE51"/>
      <c r="AF51"/>
    </row>
    <row r="52" spans="2:32" ht="15.75" customHeight="1" x14ac:dyDescent="0.25">
      <c r="B52" s="6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X52"/>
      <c r="Y52"/>
      <c r="Z52"/>
      <c r="AA52"/>
      <c r="AB52"/>
      <c r="AC52"/>
      <c r="AD52"/>
      <c r="AF52"/>
    </row>
    <row r="53" spans="2:32" ht="18.75" customHeight="1" x14ac:dyDescent="0.25">
      <c r="C53" s="31" t="s">
        <v>6</v>
      </c>
      <c r="D53" s="26"/>
      <c r="E53" s="26"/>
      <c r="F53" s="145"/>
      <c r="G53" s="146"/>
      <c r="H53" s="146"/>
      <c r="I53" s="146"/>
      <c r="J53" s="147"/>
      <c r="L53" s="32"/>
      <c r="N53" s="31" t="s">
        <v>17</v>
      </c>
      <c r="O53" s="26"/>
      <c r="P53" s="26"/>
      <c r="Q53" s="145"/>
      <c r="R53" s="146"/>
      <c r="S53" s="146"/>
      <c r="T53" s="146"/>
      <c r="U53" s="147"/>
      <c r="X53"/>
      <c r="Y53"/>
      <c r="Z53"/>
      <c r="AA53"/>
      <c r="AB53"/>
      <c r="AC53"/>
      <c r="AD53"/>
      <c r="AF53"/>
    </row>
    <row r="54" spans="2:32" ht="18.75" customHeight="1" x14ac:dyDescent="0.25">
      <c r="C54" s="33" t="s">
        <v>4</v>
      </c>
      <c r="D54" s="26"/>
      <c r="E54" s="60" t="s">
        <v>108</v>
      </c>
      <c r="F54" s="27">
        <f>E43</f>
        <v>-3.1832063176496574</v>
      </c>
      <c r="G54" s="27">
        <f>F43</f>
        <v>2.2167936823503411</v>
      </c>
      <c r="H54" s="27">
        <f>G43</f>
        <v>8.2917936823503435</v>
      </c>
      <c r="I54" s="27">
        <f>H43</f>
        <v>11.666793682350342</v>
      </c>
      <c r="J54" s="27">
        <f>I43</f>
        <v>20.441793682350344</v>
      </c>
      <c r="L54" s="19"/>
      <c r="O54" s="26"/>
      <c r="P54" s="60" t="s">
        <v>108</v>
      </c>
      <c r="Q54" s="27">
        <f>F54</f>
        <v>-3.1832063176496574</v>
      </c>
      <c r="R54" s="27">
        <f>G54</f>
        <v>2.2167936823503411</v>
      </c>
      <c r="S54" s="27">
        <f>H54</f>
        <v>8.2917936823503435</v>
      </c>
      <c r="T54" s="27">
        <f>I54</f>
        <v>11.666793682350342</v>
      </c>
      <c r="U54" s="27">
        <f>J54</f>
        <v>20.441793682350344</v>
      </c>
      <c r="V54" s="32"/>
      <c r="W54" s="19"/>
      <c r="X54"/>
      <c r="Y54"/>
      <c r="Z54"/>
      <c r="AA54"/>
      <c r="AB54"/>
      <c r="AC54"/>
      <c r="AD54"/>
      <c r="AE54"/>
      <c r="AF54"/>
    </row>
    <row r="55" spans="2:32" ht="18.75" customHeight="1" x14ac:dyDescent="0.25">
      <c r="C55" s="26" t="s">
        <v>110</v>
      </c>
      <c r="D55" s="26" t="s">
        <v>109</v>
      </c>
      <c r="E55" s="22" t="s">
        <v>1</v>
      </c>
      <c r="F55" s="23">
        <v>4</v>
      </c>
      <c r="G55" s="23">
        <v>3</v>
      </c>
      <c r="H55" s="23">
        <v>2</v>
      </c>
      <c r="I55" s="23">
        <v>1</v>
      </c>
      <c r="J55" s="23">
        <v>5</v>
      </c>
      <c r="K55" s="12" t="s">
        <v>21</v>
      </c>
      <c r="N55" s="26" t="s">
        <v>110</v>
      </c>
      <c r="O55" s="26" t="s">
        <v>109</v>
      </c>
      <c r="P55" s="22" t="s">
        <v>1</v>
      </c>
      <c r="Q55" s="23">
        <v>4</v>
      </c>
      <c r="R55" s="23">
        <v>3</v>
      </c>
      <c r="S55" s="23">
        <v>2</v>
      </c>
      <c r="T55" s="23">
        <v>1</v>
      </c>
      <c r="U55" s="23">
        <v>5</v>
      </c>
      <c r="V55" s="11" t="s">
        <v>19</v>
      </c>
      <c r="X55"/>
      <c r="Y55"/>
      <c r="Z55"/>
      <c r="AA55"/>
      <c r="AB55"/>
      <c r="AC55"/>
      <c r="AD55"/>
      <c r="AF55"/>
    </row>
    <row r="56" spans="2:32" ht="18.75" customHeight="1" x14ac:dyDescent="0.25">
      <c r="B56" s="136"/>
      <c r="C56" s="59">
        <f>E36</f>
        <v>-15</v>
      </c>
      <c r="D56" s="27">
        <f>E42</f>
        <v>13.350922637231466</v>
      </c>
      <c r="E56" s="23">
        <v>4</v>
      </c>
      <c r="F56" s="6">
        <f>G56/G61*F61</f>
        <v>2.253922844186083</v>
      </c>
      <c r="G56" s="6">
        <f>K56/K57*G57</f>
        <v>2.7281935157481136</v>
      </c>
      <c r="H56" s="6">
        <f>K56/K58*H58</f>
        <v>3.2617480212553986</v>
      </c>
      <c r="I56" s="6">
        <f>$I$59*K56</f>
        <v>3.5581671909816679</v>
      </c>
      <c r="J56" s="5">
        <f>$I56*J$61</f>
        <v>4.3288570322699682</v>
      </c>
      <c r="K56" s="10">
        <f>L56/$L$59</f>
        <v>1.0846779892082381</v>
      </c>
      <c r="L56" s="96">
        <f>-0.02*D56+1.4</f>
        <v>1.1329815472553706</v>
      </c>
      <c r="M56" s="159"/>
      <c r="N56" s="97">
        <f t="shared" ref="N56:O60" si="0">C56</f>
        <v>-15</v>
      </c>
      <c r="O56" s="98">
        <f t="shared" si="0"/>
        <v>13.350922637231466</v>
      </c>
      <c r="P56" s="5">
        <v>4</v>
      </c>
      <c r="Q56" s="6">
        <f>R56/R61*Q61</f>
        <v>0.84810508365500792</v>
      </c>
      <c r="R56" s="6">
        <f>V56/V57*R57</f>
        <v>0.84319740055405601</v>
      </c>
      <c r="S56" s="6">
        <f>V56/V58*S58</f>
        <v>0.83767625706548543</v>
      </c>
      <c r="T56" s="6">
        <f>V56*$T$59</f>
        <v>0.83460895512739064</v>
      </c>
      <c r="U56" s="5">
        <f>$T56*U$61</f>
        <v>0.82663397008834416</v>
      </c>
      <c r="V56" s="10">
        <f>W56/$W$59</f>
        <v>1.0432611939092382</v>
      </c>
      <c r="W56" s="44">
        <f>-0.01*O56+1.2</f>
        <v>1.0664907736276854</v>
      </c>
      <c r="X56" s="99"/>
      <c r="Y56"/>
      <c r="Z56"/>
      <c r="AA56"/>
      <c r="AB56"/>
      <c r="AC56"/>
      <c r="AD56"/>
      <c r="AE56"/>
      <c r="AF56"/>
    </row>
    <row r="57" spans="2:32" ht="18.75" customHeight="1" x14ac:dyDescent="0.25">
      <c r="B57" s="137"/>
      <c r="C57" s="59">
        <f>F36</f>
        <v>-7</v>
      </c>
      <c r="D57" s="27">
        <f>F42</f>
        <v>14.993117468569283</v>
      </c>
      <c r="E57" s="23">
        <v>3</v>
      </c>
      <c r="F57" s="6">
        <f>G57/G61*F61</f>
        <v>2.1885840846286451</v>
      </c>
      <c r="G57" s="6">
        <f>IF(F30="",H57/H61*G61,F49)</f>
        <v>2.6491061678331507</v>
      </c>
      <c r="H57" s="6">
        <f>K57/K58*H58</f>
        <v>3.1671935114382204</v>
      </c>
      <c r="I57" s="6">
        <f>$I$59*K57</f>
        <v>3.4550198134410364</v>
      </c>
      <c r="J57" s="5">
        <f>$I57*J$61</f>
        <v>4.2033681986483584</v>
      </c>
      <c r="K57" s="10">
        <f>L57/$L$59</f>
        <v>1.0532343599300962</v>
      </c>
      <c r="L57" s="96">
        <f>-0.02*D57+1.4</f>
        <v>1.1001376506286142</v>
      </c>
      <c r="M57" s="160"/>
      <c r="N57" s="97">
        <f t="shared" si="0"/>
        <v>-7</v>
      </c>
      <c r="O57" s="98">
        <f t="shared" si="0"/>
        <v>14.993117468569283</v>
      </c>
      <c r="P57" s="5">
        <v>3</v>
      </c>
      <c r="Q57" s="6">
        <f>R57/R61*Q61</f>
        <v>0.8350458634606116</v>
      </c>
      <c r="R57" s="6">
        <f>IF(K30="",R61/S61*S57,F45)</f>
        <v>0.83021374943181225</v>
      </c>
      <c r="S57" s="6">
        <f>V57/V58*S58</f>
        <v>0.82477762114941333</v>
      </c>
      <c r="T57" s="6">
        <f>V57*$T$59</f>
        <v>0.8217575498814137</v>
      </c>
      <c r="U57" s="5">
        <f>$T57*U$61</f>
        <v>0.81390536458461504</v>
      </c>
      <c r="V57" s="10">
        <f>W57/$W$59</f>
        <v>1.0271969373517671</v>
      </c>
      <c r="W57" s="44">
        <f>-0.01*O57+1.2</f>
        <v>1.0500688253143071</v>
      </c>
      <c r="X57" s="99"/>
      <c r="Y57"/>
      <c r="Z57"/>
      <c r="AA57"/>
      <c r="AB57"/>
      <c r="AC57"/>
      <c r="AD57"/>
      <c r="AF57"/>
    </row>
    <row r="58" spans="2:32" ht="18.75" customHeight="1" x14ac:dyDescent="0.25">
      <c r="B58" s="137"/>
      <c r="C58" s="59">
        <f>G36</f>
        <v>2</v>
      </c>
      <c r="D58" s="27">
        <f>G42</f>
        <v>16.793749018824194</v>
      </c>
      <c r="E58" s="23">
        <v>2</v>
      </c>
      <c r="F58" s="6">
        <f>H58/H61*F61</f>
        <v>2.116941530609767</v>
      </c>
      <c r="G58" s="6">
        <f>H58/H61*G61</f>
        <v>2.5623885803921675</v>
      </c>
      <c r="H58" s="6">
        <f>IF(F31="",$I58*H$61,G49)</f>
        <v>3.0635165113973684</v>
      </c>
      <c r="I58" s="6">
        <f>$I$59*K58</f>
        <v>3.3419209175113687</v>
      </c>
      <c r="J58" s="5">
        <f>$I58*J$61</f>
        <v>4.0657723734077695</v>
      </c>
      <c r="K58" s="10">
        <f>L58/$L$59</f>
        <v>1.0187570921587583</v>
      </c>
      <c r="L58" s="96">
        <f>-0.02*D58+1.4</f>
        <v>1.0641250196235159</v>
      </c>
      <c r="M58" s="160"/>
      <c r="N58" s="97">
        <f t="shared" si="0"/>
        <v>2</v>
      </c>
      <c r="O58" s="98">
        <f t="shared" si="0"/>
        <v>16.793749018824194</v>
      </c>
      <c r="P58" s="5">
        <v>2</v>
      </c>
      <c r="Q58" s="6">
        <f>S58/S61*Q61</f>
        <v>0.82072670750236298</v>
      </c>
      <c r="R58" s="6">
        <f>S58/S61*R61</f>
        <v>0.81597745334679228</v>
      </c>
      <c r="S58" s="6">
        <f>IF(K31="",$T58*S$61,G45)</f>
        <v>0.81063454242177557</v>
      </c>
      <c r="T58" s="6">
        <f>V58*$T$59</f>
        <v>0.80766625857454388</v>
      </c>
      <c r="U58" s="5">
        <f>$T58*U$61</f>
        <v>0.79994872057174171</v>
      </c>
      <c r="V58" s="10">
        <f>W58/$W$59</f>
        <v>1.0095828232181798</v>
      </c>
      <c r="W58" s="44">
        <f>-0.01*O58+1.2</f>
        <v>1.032062509811758</v>
      </c>
      <c r="X58" s="99"/>
      <c r="Y58"/>
      <c r="Z58"/>
      <c r="AA58"/>
      <c r="AB58"/>
      <c r="AC58"/>
      <c r="AD58"/>
      <c r="AE58"/>
      <c r="AF58"/>
    </row>
    <row r="59" spans="2:32" ht="18.75" customHeight="1" x14ac:dyDescent="0.25">
      <c r="B59" s="137"/>
      <c r="C59" s="59">
        <f>H36</f>
        <v>7</v>
      </c>
      <c r="D59" s="27">
        <f>H42</f>
        <v>17.773368754242362</v>
      </c>
      <c r="E59" s="23">
        <v>1</v>
      </c>
      <c r="F59" s="6">
        <f t="shared" ref="F59:H60" si="1">$I59*F$61</f>
        <v>2.077964950530006</v>
      </c>
      <c r="G59" s="6">
        <f t="shared" si="1"/>
        <v>2.5152105444119517</v>
      </c>
      <c r="H59" s="6">
        <f t="shared" si="1"/>
        <v>3.0071118375291412</v>
      </c>
      <c r="I59" s="6">
        <f>H49</f>
        <v>3.2803903337053573</v>
      </c>
      <c r="J59" s="5">
        <f>$I59*J$61</f>
        <v>3.9909144237635195</v>
      </c>
      <c r="K59" s="10">
        <f>L59/$L$59</f>
        <v>1</v>
      </c>
      <c r="L59" s="96">
        <f>-0.02*D59+1.4</f>
        <v>1.0445326249151528</v>
      </c>
      <c r="M59" s="160"/>
      <c r="N59" s="97">
        <f t="shared" si="0"/>
        <v>7</v>
      </c>
      <c r="O59" s="98">
        <f t="shared" si="0"/>
        <v>17.773368754242362</v>
      </c>
      <c r="P59" s="5">
        <v>1</v>
      </c>
      <c r="Q59" s="6">
        <f t="shared" ref="Q59:S60" si="2">$T59*Q$61</f>
        <v>0.81293648091811554</v>
      </c>
      <c r="R59" s="6">
        <f t="shared" si="2"/>
        <v>0.8082323060388007</v>
      </c>
      <c r="S59" s="6">
        <f t="shared" si="2"/>
        <v>0.80294010929957182</v>
      </c>
      <c r="T59" s="6">
        <f>H45</f>
        <v>0.8</v>
      </c>
      <c r="U59" s="5">
        <f>$T59*U$61</f>
        <v>0.79235571582111364</v>
      </c>
      <c r="V59" s="10">
        <f>W59/$W$59</f>
        <v>1</v>
      </c>
      <c r="W59" s="44">
        <f>-0.01*O59+1.2</f>
        <v>1.0222663124575764</v>
      </c>
      <c r="X59" s="99"/>
      <c r="Y59"/>
      <c r="Z59"/>
      <c r="AA59"/>
      <c r="AB59"/>
      <c r="AC59"/>
      <c r="AD59"/>
      <c r="AF59"/>
    </row>
    <row r="60" spans="2:32" ht="18.75" customHeight="1" x14ac:dyDescent="0.25">
      <c r="B60" s="138"/>
      <c r="C60" s="59">
        <f>I36</f>
        <v>20</v>
      </c>
      <c r="D60" s="27">
        <f>I42</f>
        <v>20.2537963707119</v>
      </c>
      <c r="E60" s="23">
        <v>5</v>
      </c>
      <c r="F60" s="6">
        <f t="shared" si="1"/>
        <v>1.9792750383835267</v>
      </c>
      <c r="G60" s="6">
        <f t="shared" si="1"/>
        <v>2.395754291025868</v>
      </c>
      <c r="H60" s="6">
        <f t="shared" si="1"/>
        <v>2.864293450248502</v>
      </c>
      <c r="I60" s="5">
        <f>$I$59*K60</f>
        <v>3.1245929831499653</v>
      </c>
      <c r="J60" s="5">
        <f>$I60*J$61</f>
        <v>3.8013717686937696</v>
      </c>
      <c r="K60" s="10">
        <f>L60/$L$59</f>
        <v>0.95250645968724967</v>
      </c>
      <c r="L60" s="96">
        <f>-0.02*D60+1.4</f>
        <v>0.99492407258576199</v>
      </c>
      <c r="M60" s="161"/>
      <c r="N60" s="97">
        <f t="shared" si="0"/>
        <v>20</v>
      </c>
      <c r="O60" s="98">
        <f t="shared" si="0"/>
        <v>20.2537963707119</v>
      </c>
      <c r="P60" s="5">
        <v>5</v>
      </c>
      <c r="Q60" s="6">
        <f t="shared" si="2"/>
        <v>0.79321138508807421</v>
      </c>
      <c r="R60" s="6">
        <f t="shared" si="2"/>
        <v>0.78862135233729436</v>
      </c>
      <c r="S60" s="6">
        <f t="shared" si="2"/>
        <v>0.78345756549266743</v>
      </c>
      <c r="T60" s="5">
        <f>V60*$T$59</f>
        <v>0.78058879502343004</v>
      </c>
      <c r="U60" s="5">
        <f>$T60*U$61</f>
        <v>0.77312999180341302</v>
      </c>
      <c r="V60" s="10">
        <f>W60/$W$59</f>
        <v>0.97573599377928755</v>
      </c>
      <c r="W60" s="44">
        <f>-0.01*O60+1.2</f>
        <v>0.99746203629288099</v>
      </c>
      <c r="X60" s="99"/>
      <c r="Y60"/>
      <c r="Z60"/>
      <c r="AA60"/>
      <c r="AB60"/>
      <c r="AC60"/>
      <c r="AD60"/>
      <c r="AE60"/>
      <c r="AF60"/>
    </row>
    <row r="61" spans="2:32" ht="18.75" customHeight="1" x14ac:dyDescent="0.25">
      <c r="E61" s="11" t="s">
        <v>20</v>
      </c>
      <c r="F61" s="1">
        <f>F62/$I$62</f>
        <v>0.63345051629354288</v>
      </c>
      <c r="G61" s="1">
        <f>G62/$I$62</f>
        <v>0.76674123764134539</v>
      </c>
      <c r="H61" s="1">
        <f>H62/$I$62</f>
        <v>0.91669329915762343</v>
      </c>
      <c r="I61" s="1">
        <f>I62/$I$62</f>
        <v>1</v>
      </c>
      <c r="J61" s="1">
        <f>J62/$I$62</f>
        <v>1.2165974221901792</v>
      </c>
      <c r="K61" s="44"/>
      <c r="L61" s="44"/>
      <c r="M61" s="44"/>
      <c r="N61" s="44"/>
      <c r="O61" s="44"/>
      <c r="P61" s="44" t="s">
        <v>20</v>
      </c>
      <c r="Q61" s="1">
        <f>Q62/$T$62</f>
        <v>1.0161706011476443</v>
      </c>
      <c r="R61" s="1">
        <f>R62/$T$62</f>
        <v>1.0102903825485008</v>
      </c>
      <c r="S61" s="1">
        <f>S62/$T$62</f>
        <v>1.0036751366244647</v>
      </c>
      <c r="T61" s="1">
        <f>T62/$T$62</f>
        <v>1</v>
      </c>
      <c r="U61" s="1">
        <f>U62/$T$62</f>
        <v>0.99044464477639205</v>
      </c>
      <c r="V61" s="44"/>
      <c r="W61" s="44"/>
      <c r="X61" s="99"/>
      <c r="Y61"/>
      <c r="Z61"/>
      <c r="AA61"/>
      <c r="AB61"/>
      <c r="AC61"/>
      <c r="AD61"/>
      <c r="AF61"/>
    </row>
    <row r="62" spans="2:32" ht="15" customHeight="1" x14ac:dyDescent="0.25">
      <c r="F62" s="1">
        <f>0.026*F54+0.75</f>
        <v>0.66723663574110892</v>
      </c>
      <c r="G62" s="1">
        <f>0.026*G54+0.75</f>
        <v>0.80763663574110889</v>
      </c>
      <c r="H62" s="1">
        <f>0.026*H54+0.75</f>
        <v>0.96558663574110892</v>
      </c>
      <c r="I62" s="1">
        <f>0.026*I54+0.75</f>
        <v>1.0533366357411089</v>
      </c>
      <c r="J62" s="1">
        <f>0.026*J54+0.75</f>
        <v>1.2814866357411088</v>
      </c>
      <c r="K62" s="44"/>
      <c r="L62" s="44"/>
      <c r="M62" s="44"/>
      <c r="N62" s="44"/>
      <c r="O62" s="44"/>
      <c r="P62" s="44"/>
      <c r="Q62" s="1">
        <f>-0.001*Q54+0.93</f>
        <v>0.93318320631764973</v>
      </c>
      <c r="R62" s="1">
        <f>-0.001*R54+0.93</f>
        <v>0.92778320631764966</v>
      </c>
      <c r="S62" s="1">
        <f>-0.001*S54+0.93</f>
        <v>0.92170820631764971</v>
      </c>
      <c r="T62" s="1">
        <f>-0.001*T54+0.93</f>
        <v>0.9183332063176497</v>
      </c>
      <c r="U62" s="1">
        <f>-0.001*U54+0.93</f>
        <v>0.90955820631764972</v>
      </c>
      <c r="V62" s="44"/>
      <c r="W62" s="44"/>
      <c r="X62" s="99"/>
      <c r="Y62"/>
      <c r="Z62"/>
      <c r="AA62"/>
      <c r="AB62"/>
      <c r="AC62"/>
      <c r="AD62"/>
      <c r="AE62"/>
      <c r="AF62"/>
    </row>
    <row r="63" spans="2:32" ht="15" customHeight="1" x14ac:dyDescent="0.25">
      <c r="D63" s="12">
        <v>1</v>
      </c>
      <c r="E63" s="34">
        <v>2</v>
      </c>
      <c r="F63" s="12">
        <v>3</v>
      </c>
      <c r="G63" s="12">
        <v>4</v>
      </c>
      <c r="H63" s="12">
        <v>5</v>
      </c>
      <c r="I63" s="12">
        <v>6</v>
      </c>
      <c r="J63" s="12">
        <v>7</v>
      </c>
      <c r="O63" s="12">
        <v>1</v>
      </c>
      <c r="P63" s="34">
        <v>2</v>
      </c>
      <c r="Q63" s="12">
        <v>3</v>
      </c>
      <c r="R63" s="12">
        <v>4</v>
      </c>
      <c r="S63" s="12">
        <v>5</v>
      </c>
      <c r="T63" s="12">
        <v>6</v>
      </c>
      <c r="U63" s="12">
        <v>7</v>
      </c>
      <c r="X63"/>
      <c r="Y63"/>
      <c r="Z63"/>
      <c r="AA63"/>
      <c r="AB63"/>
      <c r="AC63"/>
      <c r="AD63"/>
      <c r="AE63"/>
      <c r="AF63"/>
    </row>
    <row r="64" spans="2:32" ht="15" customHeight="1" x14ac:dyDescent="0.25">
      <c r="B64" s="19" t="s">
        <v>107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X64"/>
      <c r="Y64"/>
      <c r="Z64"/>
      <c r="AA64"/>
      <c r="AB64"/>
      <c r="AC64"/>
      <c r="AD64"/>
      <c r="AE64"/>
      <c r="AF64"/>
    </row>
    <row r="65" spans="2:32" ht="15" customHeight="1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X65"/>
      <c r="Y65"/>
      <c r="Z65"/>
      <c r="AA65"/>
      <c r="AB65"/>
      <c r="AC65"/>
      <c r="AD65"/>
      <c r="AE65"/>
      <c r="AF65"/>
    </row>
    <row r="66" spans="2:32" ht="15" customHeight="1" x14ac:dyDescent="0.25">
      <c r="C66" s="26" t="s">
        <v>102</v>
      </c>
      <c r="D66" s="26" t="s">
        <v>100</v>
      </c>
      <c r="E66" s="26" t="s">
        <v>103</v>
      </c>
      <c r="F66" s="26" t="s">
        <v>104</v>
      </c>
      <c r="G66" s="26" t="s">
        <v>105</v>
      </c>
      <c r="H66" s="26" t="s">
        <v>106</v>
      </c>
      <c r="I66" s="26" t="s">
        <v>7</v>
      </c>
      <c r="J66" s="26" t="s">
        <v>9</v>
      </c>
      <c r="K66" s="26" t="s">
        <v>8</v>
      </c>
      <c r="L66" s="26" t="s">
        <v>10</v>
      </c>
      <c r="M66" s="26" t="s">
        <v>11</v>
      </c>
      <c r="N66" s="26" t="s">
        <v>12</v>
      </c>
      <c r="O66" s="26" t="s">
        <v>13</v>
      </c>
      <c r="P66" s="26" t="s">
        <v>14</v>
      </c>
      <c r="Q66" s="1" t="s">
        <v>5</v>
      </c>
      <c r="R66" s="1" t="s">
        <v>15</v>
      </c>
      <c r="S66" s="26" t="s">
        <v>16</v>
      </c>
      <c r="T66" s="26" t="s">
        <v>2</v>
      </c>
      <c r="X66"/>
      <c r="Y66"/>
      <c r="Z66"/>
      <c r="AA66"/>
      <c r="AB66"/>
      <c r="AC66"/>
      <c r="AD66"/>
      <c r="AE66"/>
      <c r="AF66"/>
    </row>
    <row r="67" spans="2:32" ht="15" customHeight="1" x14ac:dyDescent="0.25">
      <c r="C67" s="35">
        <f>D99</f>
        <v>20</v>
      </c>
      <c r="D67" s="35">
        <f>$H$94</f>
        <v>2</v>
      </c>
      <c r="E67" s="1">
        <f t="shared" ref="E67:E79" si="3">IF(C67&lt;$D$57,$D$56,IF(C67&lt;$D$58,$D$57,IF(C67&lt;$D$59,$D$58,$D$59)))</f>
        <v>17.773368754242362</v>
      </c>
      <c r="F67" s="1">
        <f>IF(C67&lt;$D$57,$D$57,IF(C67&lt;$D$58,$D$58,IF(C67&lt;$D$59,$D$59,$D$60)))</f>
        <v>20.2537963707119</v>
      </c>
      <c r="G67" s="1">
        <f t="shared" ref="G67:G81" si="4">IF(D67&lt;$G$54,$F$54,IF(D67&lt;$H$54,$G$54,IF(D67&lt;$I$54,$H$54,$I$54)))</f>
        <v>-3.1832063176496574</v>
      </c>
      <c r="H67" s="1">
        <f t="shared" ref="H67:H81" si="5">IF(D67&lt;$G$54,$G$54,IF(D67&lt;$H$54,$H$54,IF(D67&lt;$I$54,$I$54,$J$54)))</f>
        <v>2.2167936823503411</v>
      </c>
      <c r="I67" s="1">
        <f t="shared" ref="I67:I81" si="6">VLOOKUP(E67,$D$56:$J$60,HLOOKUP(G67,$F$54:$J$63,10,FALSE),FALSE)</f>
        <v>2.077964950530006</v>
      </c>
      <c r="J67" s="1">
        <f t="shared" ref="J67:J81" si="7">VLOOKUP(E67,$D$56:$J$60,HLOOKUP(H67,$F$54:$J$63,10,FALSE),FALSE)</f>
        <v>2.5152105444119517</v>
      </c>
      <c r="K67" s="1">
        <f t="shared" ref="K67:K81" si="8">VLOOKUP(F67,$D$56:$J$60,HLOOKUP(G67,$F$54:$J$63,10,FALSE),FALSE)</f>
        <v>1.9792750383835267</v>
      </c>
      <c r="L67" s="1">
        <f t="shared" ref="L67:L81" si="9">VLOOKUP(F67,$D$56:$J$60,HLOOKUP(H67,$F$54:$J$63,10,FALSE),FALSE)</f>
        <v>2.395754291025868</v>
      </c>
      <c r="M67" s="1">
        <f t="shared" ref="M67:M91" si="10">VLOOKUP(E67,$O$56:$U$60,HLOOKUP(G67,$Q$54:$U$63,10,FALSE),FALSE)</f>
        <v>0.81293648091811554</v>
      </c>
      <c r="N67" s="1">
        <f t="shared" ref="N67:N91" si="11">VLOOKUP(E67,$O$56:$U$60,HLOOKUP(H67,$Q$54:$U$63,10,FALSE),FALSE)</f>
        <v>0.8082323060388007</v>
      </c>
      <c r="O67" s="1">
        <f t="shared" ref="O67:O91" si="12">VLOOKUP(F67,$O$56:$U$60,HLOOKUP(G67,$Q$54:$U$63,10,FALSE),FALSE)</f>
        <v>0.79321138508807421</v>
      </c>
      <c r="P67" s="1">
        <f t="shared" ref="P67:P91" si="13">VLOOKUP(F67,$O$56:$U$60,HLOOKUP(H67,$Q$54:$U$63,10,FALSE),FALSE)</f>
        <v>0.78862135233729436</v>
      </c>
      <c r="Q67" s="1">
        <f>IF(E67=F67,1,(C67-E67)/(F67-E67))</f>
        <v>0.89768039630475682</v>
      </c>
      <c r="R67" s="1">
        <f>IF(G67=H67,1,(D67-G67)/(H67-G67))</f>
        <v>0.95985302178697396</v>
      </c>
      <c r="S67" s="1">
        <f t="shared" ref="S67:S81" si="14">(1-Q67)*(1-R67)*I67+(1-Q67)*R67*J67+Q67*(1-R67)*K67+Q67*R67*L67</f>
        <v>2.3911713195971416</v>
      </c>
      <c r="T67" s="10">
        <f>(1-Q67)*(1-R67)*M67+(1-Q67)*R67*N67+Q67*(1-R67)*O67+Q67*R67*P67</f>
        <v>0.79081268216861034</v>
      </c>
      <c r="X67"/>
      <c r="Y67"/>
      <c r="Z67"/>
      <c r="AA67"/>
      <c r="AB67"/>
      <c r="AC67"/>
      <c r="AD67"/>
      <c r="AE67"/>
      <c r="AF67"/>
    </row>
    <row r="68" spans="2:32" ht="15" customHeight="1" x14ac:dyDescent="0.25">
      <c r="C68" s="35">
        <f>D100</f>
        <v>25</v>
      </c>
      <c r="D68" s="35">
        <f>$H$94</f>
        <v>2</v>
      </c>
      <c r="E68" s="1">
        <f>IF(C68&lt;$D$57,$D$56,IF(C68&lt;$D$58,$D$57,IF(C68&lt;$D$59,$D$58,$D$59)))</f>
        <v>17.773368754242362</v>
      </c>
      <c r="F68" s="1">
        <f>IF(C68&lt;$D$57,$D$57,IF(C68&lt;$D$58,$D$58,IF(C68&lt;$D$59,$D$59,$D$60)))</f>
        <v>20.2537963707119</v>
      </c>
      <c r="G68" s="1">
        <f t="shared" si="4"/>
        <v>-3.1832063176496574</v>
      </c>
      <c r="H68" s="1">
        <f t="shared" si="5"/>
        <v>2.2167936823503411</v>
      </c>
      <c r="I68" s="1">
        <f t="shared" si="6"/>
        <v>2.077964950530006</v>
      </c>
      <c r="J68" s="1">
        <f t="shared" si="7"/>
        <v>2.5152105444119517</v>
      </c>
      <c r="K68" s="1">
        <f t="shared" si="8"/>
        <v>1.9792750383835267</v>
      </c>
      <c r="L68" s="1">
        <f t="shared" si="9"/>
        <v>2.395754291025868</v>
      </c>
      <c r="M68" s="1">
        <f t="shared" si="10"/>
        <v>0.81293648091811554</v>
      </c>
      <c r="N68" s="1">
        <f t="shared" si="11"/>
        <v>0.8082323060388007</v>
      </c>
      <c r="O68" s="1">
        <f t="shared" si="12"/>
        <v>0.79321138508807421</v>
      </c>
      <c r="P68" s="1">
        <f t="shared" si="13"/>
        <v>0.78862135233729436</v>
      </c>
      <c r="Q68" s="1">
        <f t="shared" ref="Q68:Q91" si="15">IF(E68=F68,1,(C68-E68)/(F68-E68))</f>
        <v>2.9134618554374532</v>
      </c>
      <c r="R68" s="1">
        <f t="shared" ref="R68:R91" si="16">IF(G68=H68,1,(D68-G68)/(H68-G68))</f>
        <v>0.95985302178697396</v>
      </c>
      <c r="S68" s="1">
        <f t="shared" si="14"/>
        <v>2.1520541876374271</v>
      </c>
      <c r="T68" s="10">
        <f t="shared" ref="T68:T74" si="17">(1-Q68)*(1-R68)*M68+(1-Q68)*R68*N68+Q68*(1-R68)*O68+Q68*R68*P68</f>
        <v>0.75127204806017955</v>
      </c>
      <c r="X68"/>
      <c r="Y68"/>
      <c r="Z68"/>
      <c r="AA68"/>
      <c r="AB68"/>
      <c r="AC68"/>
      <c r="AD68"/>
      <c r="AE68"/>
      <c r="AF68"/>
    </row>
    <row r="69" spans="2:32" ht="15" customHeight="1" x14ac:dyDescent="0.25">
      <c r="C69" s="35">
        <f>D98</f>
        <v>15</v>
      </c>
      <c r="D69" s="35">
        <f>$H$94</f>
        <v>2</v>
      </c>
      <c r="E69" s="1">
        <f t="shared" si="3"/>
        <v>14.993117468569283</v>
      </c>
      <c r="F69" s="1">
        <f t="shared" ref="F69:F79" si="18">IF(C69&lt;$D$57,$D$57,IF(C69&lt;$D$58,$D$58,IF(C69&lt;$D$59,$D$59,$D$60)))</f>
        <v>16.793749018824194</v>
      </c>
      <c r="G69" s="1">
        <f t="shared" si="4"/>
        <v>-3.1832063176496574</v>
      </c>
      <c r="H69" s="1">
        <f t="shared" si="5"/>
        <v>2.2167936823503411</v>
      </c>
      <c r="I69" s="1">
        <f t="shared" si="6"/>
        <v>2.1885840846286451</v>
      </c>
      <c r="J69" s="1">
        <f t="shared" si="7"/>
        <v>2.6491061678331507</v>
      </c>
      <c r="K69" s="1">
        <f t="shared" si="8"/>
        <v>2.116941530609767</v>
      </c>
      <c r="L69" s="1">
        <f t="shared" si="9"/>
        <v>2.5623885803921675</v>
      </c>
      <c r="M69" s="1">
        <f t="shared" si="10"/>
        <v>0.8350458634606116</v>
      </c>
      <c r="N69" s="1">
        <f t="shared" si="11"/>
        <v>0.83021374943181225</v>
      </c>
      <c r="O69" s="1">
        <f t="shared" si="12"/>
        <v>0.82072670750236298</v>
      </c>
      <c r="P69" s="1">
        <f t="shared" si="13"/>
        <v>0.81597745334679228</v>
      </c>
      <c r="Q69" s="1">
        <f t="shared" si="15"/>
        <v>3.8222874800471654E-3</v>
      </c>
      <c r="R69" s="1">
        <f t="shared" si="16"/>
        <v>0.95985302178697396</v>
      </c>
      <c r="S69" s="1">
        <f t="shared" si="14"/>
        <v>2.6302884515568548</v>
      </c>
      <c r="T69" s="10">
        <f t="shared" si="17"/>
        <v>0.83035331627704101</v>
      </c>
      <c r="X69"/>
      <c r="Y69"/>
      <c r="Z69"/>
      <c r="AA69"/>
      <c r="AB69"/>
      <c r="AC69"/>
      <c r="AD69"/>
      <c r="AE69"/>
      <c r="AF69"/>
    </row>
    <row r="70" spans="2:32" ht="15" customHeight="1" x14ac:dyDescent="0.25">
      <c r="C70" s="35">
        <f>D97</f>
        <v>10</v>
      </c>
      <c r="D70" s="35">
        <f>$H$94</f>
        <v>2</v>
      </c>
      <c r="E70" s="1">
        <f>IF(C70&lt;$D$57,$D$56,IF(C70&lt;$D$58,$D$57,IF(C70&lt;$D$59,$D$58,$D$59)))</f>
        <v>13.350922637231466</v>
      </c>
      <c r="F70" s="1">
        <f>IF(C70&lt;$D$57,$D$57,IF(C70&lt;$D$58,$D$58,IF(C70&lt;$D$59,$D$59,$D$60)))</f>
        <v>14.993117468569283</v>
      </c>
      <c r="G70" s="1">
        <f t="shared" si="4"/>
        <v>-3.1832063176496574</v>
      </c>
      <c r="H70" s="1">
        <f t="shared" si="5"/>
        <v>2.2167936823503411</v>
      </c>
      <c r="I70" s="1">
        <f t="shared" si="6"/>
        <v>2.253922844186083</v>
      </c>
      <c r="J70" s="1">
        <f t="shared" si="7"/>
        <v>2.7281935157481136</v>
      </c>
      <c r="K70" s="1">
        <f t="shared" si="8"/>
        <v>2.1885840846286451</v>
      </c>
      <c r="L70" s="1">
        <f t="shared" si="9"/>
        <v>2.6491061678331507</v>
      </c>
      <c r="M70" s="1">
        <f t="shared" si="10"/>
        <v>0.84810508365500792</v>
      </c>
      <c r="N70" s="1">
        <f t="shared" si="11"/>
        <v>0.84319740055405601</v>
      </c>
      <c r="O70" s="1">
        <f t="shared" si="12"/>
        <v>0.8350458634606116</v>
      </c>
      <c r="P70" s="1">
        <f t="shared" si="13"/>
        <v>0.83021374943181225</v>
      </c>
      <c r="Q70" s="1">
        <f t="shared" si="15"/>
        <v>-2.0405146656695008</v>
      </c>
      <c r="R70" s="1">
        <f t="shared" si="16"/>
        <v>0.95985302178697396</v>
      </c>
      <c r="S70" s="1">
        <f t="shared" si="14"/>
        <v>2.8694055835165706</v>
      </c>
      <c r="T70" s="10">
        <f>(1-Q70)*(1-R70)*M70+(1-Q70)*R70*N70+Q70*(1-R70)*O70+Q70*R70*P70</f>
        <v>0.8698939503854719</v>
      </c>
      <c r="X70"/>
      <c r="Y70"/>
      <c r="Z70"/>
      <c r="AA70"/>
      <c r="AB70"/>
      <c r="AC70"/>
      <c r="AD70"/>
      <c r="AE70"/>
      <c r="AF70"/>
    </row>
    <row r="71" spans="2:32" ht="15" customHeight="1" x14ac:dyDescent="0.25">
      <c r="B71"/>
      <c r="C71" s="35">
        <f>D96</f>
        <v>5</v>
      </c>
      <c r="D71" s="35">
        <f>$H$94</f>
        <v>2</v>
      </c>
      <c r="E71" s="1">
        <f>IF(C71&lt;$D$57,$D$56,IF(C71&lt;$D$58,$D$57,IF(C71&lt;$D$59,$D$58,$D$59)))</f>
        <v>13.350922637231466</v>
      </c>
      <c r="F71" s="1">
        <f>IF(C71&lt;$D$57,$D$57,IF(C71&lt;$D$58,$D$58,IF(C71&lt;$D$59,$D$59,$D$60)))</f>
        <v>14.993117468569283</v>
      </c>
      <c r="G71" s="1">
        <f t="shared" si="4"/>
        <v>-3.1832063176496574</v>
      </c>
      <c r="H71" s="1">
        <f t="shared" si="5"/>
        <v>2.2167936823503411</v>
      </c>
      <c r="I71" s="1">
        <f t="shared" si="6"/>
        <v>2.253922844186083</v>
      </c>
      <c r="J71" s="1">
        <f t="shared" si="7"/>
        <v>2.7281935157481136</v>
      </c>
      <c r="K71" s="1">
        <f t="shared" si="8"/>
        <v>2.1885840846286451</v>
      </c>
      <c r="L71" s="1">
        <f t="shared" si="9"/>
        <v>2.6491061678331507</v>
      </c>
      <c r="M71" s="1">
        <f t="shared" si="10"/>
        <v>0.84810508365500792</v>
      </c>
      <c r="N71" s="1">
        <f t="shared" si="11"/>
        <v>0.84319740055405601</v>
      </c>
      <c r="O71" s="1">
        <f t="shared" si="12"/>
        <v>0.8350458634606116</v>
      </c>
      <c r="P71" s="1">
        <f t="shared" si="13"/>
        <v>0.83021374943181225</v>
      </c>
      <c r="Q71" s="1">
        <f t="shared" si="15"/>
        <v>-5.0852203879051157</v>
      </c>
      <c r="R71" s="1">
        <f t="shared" si="16"/>
        <v>0.95985302178697396</v>
      </c>
      <c r="S71" s="1">
        <f t="shared" si="14"/>
        <v>3.1085227154762869</v>
      </c>
      <c r="T71" s="10">
        <f>(1-Q71)*(1-R71)*M71+(1-Q71)*R71*N71+Q71*(1-R71)*O71+Q71*R71*P71</f>
        <v>0.90943458449390313</v>
      </c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15" customHeight="1" x14ac:dyDescent="0.25">
      <c r="B72"/>
      <c r="C72" s="35">
        <f>C67</f>
        <v>20</v>
      </c>
      <c r="D72" s="35">
        <f>$G$94</f>
        <v>-7</v>
      </c>
      <c r="E72" s="1">
        <f t="shared" si="3"/>
        <v>17.773368754242362</v>
      </c>
      <c r="F72" s="1">
        <f t="shared" si="18"/>
        <v>20.2537963707119</v>
      </c>
      <c r="G72" s="1">
        <f t="shared" si="4"/>
        <v>-3.1832063176496574</v>
      </c>
      <c r="H72" s="1">
        <f t="shared" si="5"/>
        <v>2.2167936823503411</v>
      </c>
      <c r="I72" s="1">
        <f t="shared" si="6"/>
        <v>2.077964950530006</v>
      </c>
      <c r="J72" s="1">
        <f t="shared" si="7"/>
        <v>2.5152105444119517</v>
      </c>
      <c r="K72" s="1">
        <f t="shared" si="8"/>
        <v>1.9792750383835267</v>
      </c>
      <c r="L72" s="1">
        <f t="shared" si="9"/>
        <v>2.395754291025868</v>
      </c>
      <c r="M72" s="1">
        <f t="shared" si="10"/>
        <v>0.81293648091811554</v>
      </c>
      <c r="N72" s="1">
        <f t="shared" si="11"/>
        <v>0.8082323060388007</v>
      </c>
      <c r="O72" s="1">
        <f t="shared" si="12"/>
        <v>0.79321138508807421</v>
      </c>
      <c r="P72" s="1">
        <f t="shared" si="13"/>
        <v>0.78862135233729436</v>
      </c>
      <c r="Q72" s="1">
        <f t="shared" si="15"/>
        <v>0.89768039630475682</v>
      </c>
      <c r="R72" s="1">
        <f t="shared" si="16"/>
        <v>-0.70681364487969323</v>
      </c>
      <c r="S72" s="1">
        <f t="shared" si="14"/>
        <v>1.6934978921835113</v>
      </c>
      <c r="T72" s="10">
        <f t="shared" si="17"/>
        <v>0.79848220171550466</v>
      </c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5" customHeight="1" x14ac:dyDescent="0.25">
      <c r="B73"/>
      <c r="C73" s="35">
        <f t="shared" ref="C73:C91" si="19">C68</f>
        <v>25</v>
      </c>
      <c r="D73" s="35">
        <f>$G$94</f>
        <v>-7</v>
      </c>
      <c r="E73" s="1">
        <f t="shared" si="3"/>
        <v>17.773368754242362</v>
      </c>
      <c r="F73" s="1">
        <f t="shared" si="18"/>
        <v>20.2537963707119</v>
      </c>
      <c r="G73" s="1">
        <f t="shared" si="4"/>
        <v>-3.1832063176496574</v>
      </c>
      <c r="H73" s="1">
        <f t="shared" si="5"/>
        <v>2.2167936823503411</v>
      </c>
      <c r="I73" s="1">
        <f t="shared" si="6"/>
        <v>2.077964950530006</v>
      </c>
      <c r="J73" s="1">
        <f t="shared" si="7"/>
        <v>2.5152105444119517</v>
      </c>
      <c r="K73" s="1">
        <f t="shared" si="8"/>
        <v>1.9792750383835267</v>
      </c>
      <c r="L73" s="1">
        <f t="shared" si="9"/>
        <v>2.395754291025868</v>
      </c>
      <c r="M73" s="1">
        <f t="shared" si="10"/>
        <v>0.81293648091811554</v>
      </c>
      <c r="N73" s="1">
        <f t="shared" si="11"/>
        <v>0.8082323060388007</v>
      </c>
      <c r="O73" s="1">
        <f t="shared" si="12"/>
        <v>0.79321138508807421</v>
      </c>
      <c r="P73" s="1">
        <f t="shared" si="13"/>
        <v>0.78862135233729436</v>
      </c>
      <c r="Q73" s="1">
        <f t="shared" si="15"/>
        <v>2.9134618554374532</v>
      </c>
      <c r="R73" s="1">
        <f t="shared" si="16"/>
        <v>-0.70681364487969323</v>
      </c>
      <c r="S73" s="1">
        <f t="shared" si="14"/>
        <v>1.5241481029651585</v>
      </c>
      <c r="T73" s="10">
        <f t="shared" si="17"/>
        <v>0.75855809162972831</v>
      </c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5" customHeight="1" x14ac:dyDescent="0.25">
      <c r="B74"/>
      <c r="C74" s="35">
        <f t="shared" si="19"/>
        <v>15</v>
      </c>
      <c r="D74" s="35">
        <f>$G$94</f>
        <v>-7</v>
      </c>
      <c r="E74" s="1">
        <f t="shared" si="3"/>
        <v>14.993117468569283</v>
      </c>
      <c r="F74" s="1">
        <f t="shared" si="18"/>
        <v>16.793749018824194</v>
      </c>
      <c r="G74" s="1">
        <f t="shared" si="4"/>
        <v>-3.1832063176496574</v>
      </c>
      <c r="H74" s="1">
        <f t="shared" si="5"/>
        <v>2.2167936823503411</v>
      </c>
      <c r="I74" s="1">
        <f t="shared" si="6"/>
        <v>2.1885840846286451</v>
      </c>
      <c r="J74" s="1">
        <f t="shared" si="7"/>
        <v>2.6491061678331507</v>
      </c>
      <c r="K74" s="1">
        <f t="shared" si="8"/>
        <v>2.116941530609767</v>
      </c>
      <c r="L74" s="1">
        <f t="shared" si="9"/>
        <v>2.5623885803921675</v>
      </c>
      <c r="M74" s="1">
        <f t="shared" si="10"/>
        <v>0.8350458634606116</v>
      </c>
      <c r="N74" s="1">
        <f t="shared" si="11"/>
        <v>0.83021374943181225</v>
      </c>
      <c r="O74" s="1">
        <f t="shared" si="12"/>
        <v>0.82072670750236298</v>
      </c>
      <c r="P74" s="1">
        <f t="shared" si="13"/>
        <v>0.81597745334679228</v>
      </c>
      <c r="Q74" s="1">
        <f t="shared" si="15"/>
        <v>3.8222874800471654E-3</v>
      </c>
      <c r="R74" s="1">
        <f t="shared" si="16"/>
        <v>-0.70681364487969323</v>
      </c>
      <c r="S74" s="1">
        <f t="shared" si="14"/>
        <v>1.8628476814018624</v>
      </c>
      <c r="T74" s="10">
        <f t="shared" si="17"/>
        <v>0.83840631180127956</v>
      </c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5" customHeight="1" x14ac:dyDescent="0.25">
      <c r="B75"/>
      <c r="C75" s="35">
        <f t="shared" si="19"/>
        <v>10</v>
      </c>
      <c r="D75" s="35">
        <f>$G$94</f>
        <v>-7</v>
      </c>
      <c r="E75" s="1">
        <f>IF(C75&lt;$D$57,$D$56,IF(C75&lt;$D$58,$D$57,IF(C75&lt;$D$59,$D$58,$D$59)))</f>
        <v>13.350922637231466</v>
      </c>
      <c r="F75" s="1">
        <f>IF(C75&lt;$D$57,$D$57,IF(C75&lt;$D$58,$D$58,IF(C75&lt;$D$59,$D$59,$D$60)))</f>
        <v>14.993117468569283</v>
      </c>
      <c r="G75" s="1">
        <f t="shared" si="4"/>
        <v>-3.1832063176496574</v>
      </c>
      <c r="H75" s="1">
        <f t="shared" si="5"/>
        <v>2.2167936823503411</v>
      </c>
      <c r="I75" s="1">
        <f t="shared" si="6"/>
        <v>2.253922844186083</v>
      </c>
      <c r="J75" s="1">
        <f t="shared" si="7"/>
        <v>2.7281935157481136</v>
      </c>
      <c r="K75" s="1">
        <f t="shared" si="8"/>
        <v>2.1885840846286451</v>
      </c>
      <c r="L75" s="1">
        <f t="shared" si="9"/>
        <v>2.6491061678331507</v>
      </c>
      <c r="M75" s="1">
        <f t="shared" si="10"/>
        <v>0.84810508365500792</v>
      </c>
      <c r="N75" s="1">
        <f t="shared" si="11"/>
        <v>0.84319740055405601</v>
      </c>
      <c r="O75" s="1">
        <f t="shared" si="12"/>
        <v>0.8350458634606116</v>
      </c>
      <c r="P75" s="1">
        <f t="shared" si="13"/>
        <v>0.83021374943181225</v>
      </c>
      <c r="Q75" s="1">
        <f t="shared" si="15"/>
        <v>-2.0405146656695008</v>
      </c>
      <c r="R75" s="1">
        <f t="shared" si="16"/>
        <v>-0.70681364487969323</v>
      </c>
      <c r="S75" s="1">
        <f t="shared" si="14"/>
        <v>2.0321974706202139</v>
      </c>
      <c r="T75" s="10">
        <f t="shared" ref="T75:T81" si="20">(1-Q75)*(1-R75)*M75+(1-Q75)*R75*N75+Q75*(1-R75)*O75+Q75*R75*P75</f>
        <v>0.87833042188705535</v>
      </c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15" customHeight="1" x14ac:dyDescent="0.25">
      <c r="B76"/>
      <c r="C76" s="35">
        <f t="shared" si="19"/>
        <v>5</v>
      </c>
      <c r="D76" s="35">
        <f>$G$94</f>
        <v>-7</v>
      </c>
      <c r="E76" s="1">
        <f>IF(C76&lt;$D$57,$D$56,IF(C76&lt;$D$58,$D$57,IF(C76&lt;$D$59,$D$58,$D$59)))</f>
        <v>13.350922637231466</v>
      </c>
      <c r="F76" s="1">
        <f>IF(C76&lt;$D$57,$D$57,IF(C76&lt;$D$58,$D$58,IF(C76&lt;$D$59,$D$59,$D$60)))</f>
        <v>14.993117468569283</v>
      </c>
      <c r="G76" s="1">
        <f t="shared" si="4"/>
        <v>-3.1832063176496574</v>
      </c>
      <c r="H76" s="1">
        <f t="shared" si="5"/>
        <v>2.2167936823503411</v>
      </c>
      <c r="I76" s="1">
        <f t="shared" si="6"/>
        <v>2.253922844186083</v>
      </c>
      <c r="J76" s="1">
        <f t="shared" si="7"/>
        <v>2.7281935157481136</v>
      </c>
      <c r="K76" s="1">
        <f t="shared" si="8"/>
        <v>2.1885840846286451</v>
      </c>
      <c r="L76" s="1">
        <f t="shared" si="9"/>
        <v>2.6491061678331507</v>
      </c>
      <c r="M76" s="1">
        <f t="shared" si="10"/>
        <v>0.84810508365500792</v>
      </c>
      <c r="N76" s="1">
        <f t="shared" si="11"/>
        <v>0.84319740055405601</v>
      </c>
      <c r="O76" s="1">
        <f t="shared" si="12"/>
        <v>0.8350458634606116</v>
      </c>
      <c r="P76" s="1">
        <f t="shared" si="13"/>
        <v>0.83021374943181225</v>
      </c>
      <c r="Q76" s="1">
        <f t="shared" si="15"/>
        <v>-5.0852203879051157</v>
      </c>
      <c r="R76" s="1">
        <f t="shared" si="16"/>
        <v>-0.70681364487969323</v>
      </c>
      <c r="S76" s="1">
        <f t="shared" si="14"/>
        <v>2.2015472598385681</v>
      </c>
      <c r="T76" s="10">
        <f t="shared" si="20"/>
        <v>0.91825453197283124</v>
      </c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15" customHeight="1" x14ac:dyDescent="0.25">
      <c r="B77"/>
      <c r="C77" s="35">
        <f t="shared" si="19"/>
        <v>20</v>
      </c>
      <c r="D77" s="35">
        <f>$F$94</f>
        <v>-15</v>
      </c>
      <c r="E77" s="1">
        <f t="shared" si="3"/>
        <v>17.773368754242362</v>
      </c>
      <c r="F77" s="1">
        <f t="shared" si="18"/>
        <v>20.2537963707119</v>
      </c>
      <c r="G77" s="1">
        <f t="shared" si="4"/>
        <v>-3.1832063176496574</v>
      </c>
      <c r="H77" s="1">
        <f t="shared" si="5"/>
        <v>2.2167936823503411</v>
      </c>
      <c r="I77" s="1">
        <f t="shared" si="6"/>
        <v>2.077964950530006</v>
      </c>
      <c r="J77" s="1">
        <f t="shared" si="7"/>
        <v>2.5152105444119517</v>
      </c>
      <c r="K77" s="1">
        <f t="shared" si="8"/>
        <v>1.9792750383835267</v>
      </c>
      <c r="L77" s="1">
        <f t="shared" si="9"/>
        <v>2.395754291025868</v>
      </c>
      <c r="M77" s="1">
        <f t="shared" si="10"/>
        <v>0.81293648091811554</v>
      </c>
      <c r="N77" s="1">
        <f t="shared" si="11"/>
        <v>0.8082323060388007</v>
      </c>
      <c r="O77" s="1">
        <f t="shared" si="12"/>
        <v>0.79321138508807421</v>
      </c>
      <c r="P77" s="1">
        <f t="shared" si="13"/>
        <v>0.78862135233729436</v>
      </c>
      <c r="Q77" s="1">
        <f t="shared" si="15"/>
        <v>0.89768039630475682</v>
      </c>
      <c r="R77" s="1">
        <f t="shared" si="16"/>
        <v>-2.188295126361175</v>
      </c>
      <c r="S77" s="1">
        <f t="shared" si="14"/>
        <v>1.0733437344825063</v>
      </c>
      <c r="T77" s="10">
        <f t="shared" si="20"/>
        <v>0.80529955242385487</v>
      </c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5" customHeight="1" x14ac:dyDescent="0.25">
      <c r="B78"/>
      <c r="C78" s="35">
        <f t="shared" si="19"/>
        <v>25</v>
      </c>
      <c r="D78" s="35">
        <f>$F$94</f>
        <v>-15</v>
      </c>
      <c r="E78" s="1">
        <f t="shared" si="3"/>
        <v>17.773368754242362</v>
      </c>
      <c r="F78" s="1">
        <f t="shared" si="18"/>
        <v>20.2537963707119</v>
      </c>
      <c r="G78" s="1">
        <f t="shared" si="4"/>
        <v>-3.1832063176496574</v>
      </c>
      <c r="H78" s="1">
        <f t="shared" si="5"/>
        <v>2.2167936823503411</v>
      </c>
      <c r="I78" s="1">
        <f t="shared" si="6"/>
        <v>2.077964950530006</v>
      </c>
      <c r="J78" s="1">
        <f t="shared" si="7"/>
        <v>2.5152105444119517</v>
      </c>
      <c r="K78" s="1">
        <f t="shared" si="8"/>
        <v>1.9792750383835267</v>
      </c>
      <c r="L78" s="1">
        <f t="shared" si="9"/>
        <v>2.395754291025868</v>
      </c>
      <c r="M78" s="1">
        <f t="shared" si="10"/>
        <v>0.81293648091811554</v>
      </c>
      <c r="N78" s="1">
        <f t="shared" si="11"/>
        <v>0.8082323060388007</v>
      </c>
      <c r="O78" s="1">
        <f t="shared" si="12"/>
        <v>0.79321138508807421</v>
      </c>
      <c r="P78" s="1">
        <f t="shared" si="13"/>
        <v>0.78862135233729436</v>
      </c>
      <c r="Q78" s="1">
        <f t="shared" si="15"/>
        <v>2.9134618554374532</v>
      </c>
      <c r="R78" s="1">
        <f t="shared" si="16"/>
        <v>-2.188295126361175</v>
      </c>
      <c r="S78" s="1">
        <f t="shared" si="14"/>
        <v>0.96600936103425639</v>
      </c>
      <c r="T78" s="10">
        <f t="shared" si="20"/>
        <v>0.76503457480266146</v>
      </c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5" customHeight="1" x14ac:dyDescent="0.25">
      <c r="B79"/>
      <c r="C79" s="35">
        <f t="shared" si="19"/>
        <v>15</v>
      </c>
      <c r="D79" s="35">
        <f>$F$94</f>
        <v>-15</v>
      </c>
      <c r="E79" s="1">
        <f t="shared" si="3"/>
        <v>14.993117468569283</v>
      </c>
      <c r="F79" s="1">
        <f t="shared" si="18"/>
        <v>16.793749018824194</v>
      </c>
      <c r="G79" s="1">
        <f t="shared" si="4"/>
        <v>-3.1832063176496574</v>
      </c>
      <c r="H79" s="1">
        <f t="shared" si="5"/>
        <v>2.2167936823503411</v>
      </c>
      <c r="I79" s="1">
        <f t="shared" si="6"/>
        <v>2.1885840846286451</v>
      </c>
      <c r="J79" s="1">
        <f t="shared" si="7"/>
        <v>2.6491061678331507</v>
      </c>
      <c r="K79" s="1">
        <f t="shared" si="8"/>
        <v>2.116941530609767</v>
      </c>
      <c r="L79" s="1">
        <f t="shared" si="9"/>
        <v>2.5623885803921675</v>
      </c>
      <c r="M79" s="1">
        <f t="shared" si="10"/>
        <v>0.8350458634606116</v>
      </c>
      <c r="N79" s="1">
        <f t="shared" si="11"/>
        <v>0.83021374943181225</v>
      </c>
      <c r="O79" s="1">
        <f t="shared" si="12"/>
        <v>0.82072670750236298</v>
      </c>
      <c r="P79" s="1">
        <f t="shared" si="13"/>
        <v>0.81597745334679228</v>
      </c>
      <c r="Q79" s="1">
        <f t="shared" si="15"/>
        <v>3.8222874800471654E-3</v>
      </c>
      <c r="R79" s="1">
        <f t="shared" si="16"/>
        <v>-2.188295126361175</v>
      </c>
      <c r="S79" s="1">
        <f t="shared" si="14"/>
        <v>1.1806781079307591</v>
      </c>
      <c r="T79" s="10">
        <f t="shared" si="20"/>
        <v>0.8455645300450475</v>
      </c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15" customHeight="1" x14ac:dyDescent="0.25">
      <c r="B80"/>
      <c r="C80" s="35">
        <f t="shared" si="19"/>
        <v>10</v>
      </c>
      <c r="D80" s="35">
        <f>$F$94</f>
        <v>-15</v>
      </c>
      <c r="E80" s="1">
        <f>IF(C80&lt;$D$57,$D$56,IF(C80&lt;$D$58,$D$57,IF(C80&lt;$D$59,$D$58,$D$59)))</f>
        <v>13.350922637231466</v>
      </c>
      <c r="F80" s="1">
        <f>IF(C80&lt;$D$57,$D$57,IF(C80&lt;$D$58,$D$58,IF(C80&lt;$D$59,$D$59,$D$60)))</f>
        <v>14.993117468569283</v>
      </c>
      <c r="G80" s="1">
        <f t="shared" si="4"/>
        <v>-3.1832063176496574</v>
      </c>
      <c r="H80" s="1">
        <f t="shared" si="5"/>
        <v>2.2167936823503411</v>
      </c>
      <c r="I80" s="1">
        <f t="shared" si="6"/>
        <v>2.253922844186083</v>
      </c>
      <c r="J80" s="1">
        <f t="shared" si="7"/>
        <v>2.7281935157481136</v>
      </c>
      <c r="K80" s="1">
        <f t="shared" si="8"/>
        <v>2.1885840846286451</v>
      </c>
      <c r="L80" s="1">
        <f t="shared" si="9"/>
        <v>2.6491061678331507</v>
      </c>
      <c r="M80" s="1">
        <f t="shared" si="10"/>
        <v>0.84810508365500792</v>
      </c>
      <c r="N80" s="1">
        <f t="shared" si="11"/>
        <v>0.84319740055405601</v>
      </c>
      <c r="O80" s="1">
        <f t="shared" si="12"/>
        <v>0.8350458634606116</v>
      </c>
      <c r="P80" s="1">
        <f t="shared" si="13"/>
        <v>0.83021374943181225</v>
      </c>
      <c r="Q80" s="1">
        <f t="shared" si="15"/>
        <v>-2.0405146656695008</v>
      </c>
      <c r="R80" s="1">
        <f t="shared" si="16"/>
        <v>-2.188295126361175</v>
      </c>
      <c r="S80" s="1">
        <f t="shared" si="14"/>
        <v>1.2880124813790097</v>
      </c>
      <c r="T80" s="10">
        <f t="shared" si="20"/>
        <v>0.88582950766624213</v>
      </c>
      <c r="U80"/>
      <c r="V80"/>
      <c r="W80"/>
      <c r="X80"/>
      <c r="Y80"/>
      <c r="Z80"/>
      <c r="AA80"/>
      <c r="AB80"/>
      <c r="AC80"/>
      <c r="AD80"/>
      <c r="AE80"/>
      <c r="AF80"/>
    </row>
    <row r="81" spans="2:32" ht="15" customHeight="1" x14ac:dyDescent="0.25">
      <c r="B81"/>
      <c r="C81" s="35">
        <f t="shared" si="19"/>
        <v>5</v>
      </c>
      <c r="D81" s="35">
        <f>$F$94</f>
        <v>-15</v>
      </c>
      <c r="E81" s="1">
        <f>IF(C81&lt;$D$57,$D$56,IF(C81&lt;$D$58,$D$57,IF(C81&lt;$D$59,$D$58,$D$59)))</f>
        <v>13.350922637231466</v>
      </c>
      <c r="F81" s="1">
        <f>IF(C81&lt;$D$57,$D$57,IF(C81&lt;$D$58,$D$58,IF(C81&lt;$D$59,$D$59,$D$60)))</f>
        <v>14.993117468569283</v>
      </c>
      <c r="G81" s="1">
        <f t="shared" si="4"/>
        <v>-3.1832063176496574</v>
      </c>
      <c r="H81" s="1">
        <f t="shared" si="5"/>
        <v>2.2167936823503411</v>
      </c>
      <c r="I81" s="1">
        <f t="shared" si="6"/>
        <v>2.253922844186083</v>
      </c>
      <c r="J81" s="1">
        <f t="shared" si="7"/>
        <v>2.7281935157481136</v>
      </c>
      <c r="K81" s="1">
        <f t="shared" si="8"/>
        <v>2.1885840846286451</v>
      </c>
      <c r="L81" s="1">
        <f t="shared" si="9"/>
        <v>2.6491061678331507</v>
      </c>
      <c r="M81" s="1">
        <f t="shared" si="10"/>
        <v>0.84810508365500792</v>
      </c>
      <c r="N81" s="1">
        <f t="shared" si="11"/>
        <v>0.84319740055405601</v>
      </c>
      <c r="O81" s="1">
        <f t="shared" si="12"/>
        <v>0.8350458634606116</v>
      </c>
      <c r="P81" s="1">
        <f t="shared" si="13"/>
        <v>0.83021374943181225</v>
      </c>
      <c r="Q81" s="1">
        <f t="shared" si="15"/>
        <v>-5.0852203879051157</v>
      </c>
      <c r="R81" s="1">
        <f t="shared" si="16"/>
        <v>-2.188295126361175</v>
      </c>
      <c r="S81" s="1">
        <f t="shared" si="14"/>
        <v>1.3953468548272525</v>
      </c>
      <c r="T81" s="10">
        <f t="shared" si="20"/>
        <v>0.92609448528743066</v>
      </c>
      <c r="U81"/>
      <c r="V81"/>
      <c r="W81"/>
      <c r="X81"/>
      <c r="Y81"/>
      <c r="Z81"/>
      <c r="AA81"/>
      <c r="AB81"/>
      <c r="AC81"/>
      <c r="AD81"/>
      <c r="AE81"/>
      <c r="AF81"/>
    </row>
    <row r="82" spans="2:32" ht="15" customHeight="1" x14ac:dyDescent="0.25">
      <c r="B82"/>
      <c r="C82" s="35">
        <f t="shared" si="19"/>
        <v>20</v>
      </c>
      <c r="D82" s="35">
        <f>$I$94</f>
        <v>7</v>
      </c>
      <c r="E82" s="1">
        <f t="shared" ref="E82:E91" si="21">IF(C82&lt;$D$57,$D$56,IF(C82&lt;$D$58,$D$57,IF(C82&lt;$D$59,$D$58,$D$59)))</f>
        <v>17.773368754242362</v>
      </c>
      <c r="F82" s="1">
        <f t="shared" ref="F82:F91" si="22">IF(C82&lt;$D$57,$D$57,IF(C82&lt;$D$58,$D$58,IF(C82&lt;$D$59,$D$59,$D$60)))</f>
        <v>20.2537963707119</v>
      </c>
      <c r="G82" s="1">
        <f t="shared" ref="G82:G91" si="23">IF(D82&lt;$G$54,$F$54,IF(D82&lt;$H$54,$G$54,IF(D82&lt;$I$54,$H$54,$I$54)))</f>
        <v>2.2167936823503411</v>
      </c>
      <c r="H82" s="1">
        <f t="shared" ref="H82:H91" si="24">IF(D82&lt;$G$54,$G$54,IF(D82&lt;$H$54,$H$54,IF(D82&lt;$I$54,$I$54,$J$54)))</f>
        <v>8.2917936823503435</v>
      </c>
      <c r="I82" s="1">
        <f t="shared" ref="I82:I91" si="25">VLOOKUP(E82,$D$56:$J$60,HLOOKUP(G82,$F$54:$J$63,10,FALSE),FALSE)</f>
        <v>2.5152105444119517</v>
      </c>
      <c r="J82" s="1">
        <f t="shared" ref="J82:J91" si="26">VLOOKUP(E82,$D$56:$J$60,HLOOKUP(H82,$F$54:$J$63,10,FALSE),FALSE)</f>
        <v>3.0071118375291412</v>
      </c>
      <c r="K82" s="1">
        <f t="shared" ref="K82:K91" si="27">VLOOKUP(F82,$D$56:$J$60,HLOOKUP(G82,$F$54:$J$63,10,FALSE),FALSE)</f>
        <v>2.395754291025868</v>
      </c>
      <c r="L82" s="1">
        <f t="shared" ref="L82:L91" si="28">VLOOKUP(F82,$D$56:$J$60,HLOOKUP(H82,$F$54:$J$63,10,FALSE),FALSE)</f>
        <v>2.864293450248502</v>
      </c>
      <c r="M82" s="1">
        <f t="shared" si="10"/>
        <v>0.8082323060388007</v>
      </c>
      <c r="N82" s="1">
        <f t="shared" si="11"/>
        <v>0.80294010929957182</v>
      </c>
      <c r="O82" s="1">
        <f t="shared" si="12"/>
        <v>0.78862135233729436</v>
      </c>
      <c r="P82" s="1">
        <f t="shared" si="13"/>
        <v>0.78345756549266743</v>
      </c>
      <c r="Q82" s="1">
        <f t="shared" si="15"/>
        <v>0.89768039630475682</v>
      </c>
      <c r="R82" s="1">
        <f t="shared" si="16"/>
        <v>0.78735906463368843</v>
      </c>
      <c r="S82" s="1">
        <f t="shared" ref="S82:S91" si="29">(1-Q82)*(1-R82)*I82+(1-Q82)*R82*J82+Q82*(1-R82)*K82+Q82*R82*L82</f>
        <v>2.7787676681602687</v>
      </c>
      <c r="T82" s="10">
        <f t="shared" ref="T82:T91" si="30">(1-Q82)*(1-R82)*M82+(1-Q82)*R82*N82+Q82*(1-R82)*O82+Q82*R82*P82</f>
        <v>0.78655183797589168</v>
      </c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" customHeight="1" x14ac:dyDescent="0.25">
      <c r="B83"/>
      <c r="C83" s="35">
        <f t="shared" si="19"/>
        <v>25</v>
      </c>
      <c r="D83" s="35">
        <f>$I$94</f>
        <v>7</v>
      </c>
      <c r="E83" s="1">
        <f t="shared" si="21"/>
        <v>17.773368754242362</v>
      </c>
      <c r="F83" s="1">
        <f t="shared" si="22"/>
        <v>20.2537963707119</v>
      </c>
      <c r="G83" s="1">
        <f t="shared" si="23"/>
        <v>2.2167936823503411</v>
      </c>
      <c r="H83" s="1">
        <f t="shared" si="24"/>
        <v>8.2917936823503435</v>
      </c>
      <c r="I83" s="1">
        <f t="shared" si="25"/>
        <v>2.5152105444119517</v>
      </c>
      <c r="J83" s="1">
        <f t="shared" si="26"/>
        <v>3.0071118375291412</v>
      </c>
      <c r="K83" s="1">
        <f t="shared" si="27"/>
        <v>2.395754291025868</v>
      </c>
      <c r="L83" s="1">
        <f t="shared" si="28"/>
        <v>2.864293450248502</v>
      </c>
      <c r="M83" s="1">
        <f t="shared" si="10"/>
        <v>0.8082323060388007</v>
      </c>
      <c r="N83" s="1">
        <f t="shared" si="11"/>
        <v>0.80294010929957182</v>
      </c>
      <c r="O83" s="1">
        <f t="shared" si="12"/>
        <v>0.78862135233729436</v>
      </c>
      <c r="P83" s="1">
        <f t="shared" si="13"/>
        <v>0.78345756549266743</v>
      </c>
      <c r="Q83" s="1">
        <f t="shared" si="15"/>
        <v>2.9134618554374532</v>
      </c>
      <c r="R83" s="1">
        <f t="shared" si="16"/>
        <v>0.78735906463368843</v>
      </c>
      <c r="S83" s="1">
        <f t="shared" si="29"/>
        <v>2.5008909013442411</v>
      </c>
      <c r="T83" s="10">
        <f t="shared" si="30"/>
        <v>0.74722424607709703</v>
      </c>
      <c r="U83"/>
      <c r="V83"/>
      <c r="W83"/>
      <c r="X83"/>
      <c r="Y83"/>
      <c r="Z83"/>
      <c r="AA83"/>
      <c r="AB83"/>
      <c r="AC83"/>
      <c r="AD83"/>
      <c r="AE83"/>
      <c r="AF83"/>
    </row>
    <row r="84" spans="2:32" ht="15" customHeight="1" x14ac:dyDescent="0.25">
      <c r="B84"/>
      <c r="C84" s="35">
        <f t="shared" si="19"/>
        <v>15</v>
      </c>
      <c r="D84" s="35">
        <f>$I$94</f>
        <v>7</v>
      </c>
      <c r="E84" s="1">
        <f t="shared" si="21"/>
        <v>14.993117468569283</v>
      </c>
      <c r="F84" s="1">
        <f t="shared" si="22"/>
        <v>16.793749018824194</v>
      </c>
      <c r="G84" s="1">
        <f t="shared" si="23"/>
        <v>2.2167936823503411</v>
      </c>
      <c r="H84" s="1">
        <f t="shared" si="24"/>
        <v>8.2917936823503435</v>
      </c>
      <c r="I84" s="1">
        <f t="shared" si="25"/>
        <v>2.6491061678331507</v>
      </c>
      <c r="J84" s="1">
        <f t="shared" si="26"/>
        <v>3.1671935114382204</v>
      </c>
      <c r="K84" s="1">
        <f t="shared" si="27"/>
        <v>2.5623885803921675</v>
      </c>
      <c r="L84" s="1">
        <f t="shared" si="28"/>
        <v>3.0635165113973684</v>
      </c>
      <c r="M84" s="1">
        <f t="shared" si="10"/>
        <v>0.83021374943181225</v>
      </c>
      <c r="N84" s="1">
        <f t="shared" si="11"/>
        <v>0.82477762114941333</v>
      </c>
      <c r="O84" s="1">
        <f t="shared" si="12"/>
        <v>0.81597745334679228</v>
      </c>
      <c r="P84" s="1">
        <f t="shared" si="13"/>
        <v>0.81063454242177557</v>
      </c>
      <c r="Q84" s="1">
        <f t="shared" si="15"/>
        <v>3.8222874800471654E-3</v>
      </c>
      <c r="R84" s="1">
        <f t="shared" si="16"/>
        <v>0.78735906463368843</v>
      </c>
      <c r="S84" s="1">
        <f t="shared" si="29"/>
        <v>3.0566444349762953</v>
      </c>
      <c r="T84" s="10">
        <f t="shared" si="30"/>
        <v>0.82587942987468621</v>
      </c>
      <c r="U84"/>
      <c r="V84"/>
      <c r="W84"/>
      <c r="X84"/>
      <c r="Y84"/>
      <c r="Z84"/>
      <c r="AA84"/>
      <c r="AB84"/>
      <c r="AC84"/>
      <c r="AD84"/>
      <c r="AE84"/>
      <c r="AF84"/>
    </row>
    <row r="85" spans="2:32" ht="15" customHeight="1" x14ac:dyDescent="0.25">
      <c r="B85"/>
      <c r="C85" s="35">
        <f t="shared" si="19"/>
        <v>10</v>
      </c>
      <c r="D85" s="35">
        <f>$I$94</f>
        <v>7</v>
      </c>
      <c r="E85" s="1">
        <f>IF(C85&lt;$D$57,$D$56,IF(C85&lt;$D$58,$D$57,IF(C85&lt;$D$59,$D$58,$D$59)))</f>
        <v>13.350922637231466</v>
      </c>
      <c r="F85" s="1">
        <f>IF(C85&lt;$D$57,$D$57,IF(C85&lt;$D$58,$D$58,IF(C85&lt;$D$59,$D$59,$D$60)))</f>
        <v>14.993117468569283</v>
      </c>
      <c r="G85" s="1">
        <f>IF(D85&lt;$G$54,$F$54,IF(D85&lt;$H$54,$G$54,IF(D85&lt;$I$54,$H$54,$I$54)))</f>
        <v>2.2167936823503411</v>
      </c>
      <c r="H85" s="1">
        <f>IF(D85&lt;$G$54,$G$54,IF(D85&lt;$H$54,$H$54,IF(D85&lt;$I$54,$I$54,$J$54)))</f>
        <v>8.2917936823503435</v>
      </c>
      <c r="I85" s="1">
        <f>VLOOKUP(E85,$D$56:$J$60,HLOOKUP(G85,$F$54:$J$63,10,FALSE),FALSE)</f>
        <v>2.7281935157481136</v>
      </c>
      <c r="J85" s="1">
        <f>VLOOKUP(E85,$D$56:$J$60,HLOOKUP(H85,$F$54:$J$63,10,FALSE),FALSE)</f>
        <v>3.2617480212553986</v>
      </c>
      <c r="K85" s="1">
        <f>VLOOKUP(F85,$D$56:$J$60,HLOOKUP(G85,$F$54:$J$63,10,FALSE),FALSE)</f>
        <v>2.6491061678331507</v>
      </c>
      <c r="L85" s="1">
        <f>VLOOKUP(F85,$D$56:$J$60,HLOOKUP(H85,$F$54:$J$63,10,FALSE),FALSE)</f>
        <v>3.1671935114382204</v>
      </c>
      <c r="M85" s="1">
        <f t="shared" si="10"/>
        <v>0.84319740055405601</v>
      </c>
      <c r="N85" s="1">
        <f t="shared" si="11"/>
        <v>0.83767625706548543</v>
      </c>
      <c r="O85" s="1">
        <f t="shared" si="12"/>
        <v>0.83021374943181225</v>
      </c>
      <c r="P85" s="1">
        <f t="shared" si="13"/>
        <v>0.82477762114941333</v>
      </c>
      <c r="Q85" s="1">
        <f t="shared" si="15"/>
        <v>-2.0405146656695008</v>
      </c>
      <c r="R85" s="1">
        <f t="shared" si="16"/>
        <v>0.78735906463368843</v>
      </c>
      <c r="S85" s="1">
        <f>(1-Q85)*(1-R85)*I85+(1-Q85)*R85*J85+Q85*(1-R85)*K85+Q85*R85*L85</f>
        <v>3.3345212017923247</v>
      </c>
      <c r="T85" s="10">
        <f>(1-Q85)*(1-R85)*M85+(1-Q85)*R85*N85+Q85*(1-R85)*O85+Q85*R85*P85</f>
        <v>0.86520702177348108</v>
      </c>
      <c r="U85"/>
      <c r="V85"/>
      <c r="W85"/>
      <c r="X85"/>
      <c r="Y85"/>
      <c r="Z85"/>
      <c r="AA85"/>
      <c r="AB85"/>
      <c r="AC85"/>
      <c r="AD85"/>
      <c r="AE85"/>
      <c r="AF85"/>
    </row>
    <row r="86" spans="2:32" ht="15" customHeight="1" x14ac:dyDescent="0.25">
      <c r="B86"/>
      <c r="C86" s="35">
        <f t="shared" si="19"/>
        <v>5</v>
      </c>
      <c r="D86" s="35">
        <f>$I$94</f>
        <v>7</v>
      </c>
      <c r="E86" s="1">
        <f>IF(C86&lt;$D$57,$D$56,IF(C86&lt;$D$58,$D$57,IF(C86&lt;$D$59,$D$58,$D$59)))</f>
        <v>13.350922637231466</v>
      </c>
      <c r="F86" s="1">
        <f>IF(C86&lt;$D$57,$D$57,IF(C86&lt;$D$58,$D$58,IF(C86&lt;$D$59,$D$59,$D$60)))</f>
        <v>14.993117468569283</v>
      </c>
      <c r="G86" s="1">
        <f>IF(D86&lt;$G$54,$F$54,IF(D86&lt;$H$54,$G$54,IF(D86&lt;$I$54,$H$54,$I$54)))</f>
        <v>2.2167936823503411</v>
      </c>
      <c r="H86" s="1">
        <f>IF(D86&lt;$G$54,$G$54,IF(D86&lt;$H$54,$H$54,IF(D86&lt;$I$54,$I$54,$J$54)))</f>
        <v>8.2917936823503435</v>
      </c>
      <c r="I86" s="1">
        <f>VLOOKUP(E86,$D$56:$J$60,HLOOKUP(G86,$F$54:$J$63,10,FALSE),FALSE)</f>
        <v>2.7281935157481136</v>
      </c>
      <c r="J86" s="1">
        <f>VLOOKUP(E86,$D$56:$J$60,HLOOKUP(H86,$F$54:$J$63,10,FALSE),FALSE)</f>
        <v>3.2617480212553986</v>
      </c>
      <c r="K86" s="1">
        <f>VLOOKUP(F86,$D$56:$J$60,HLOOKUP(G86,$F$54:$J$63,10,FALSE),FALSE)</f>
        <v>2.6491061678331507</v>
      </c>
      <c r="L86" s="1">
        <f>VLOOKUP(F86,$D$56:$J$60,HLOOKUP(H86,$F$54:$J$63,10,FALSE),FALSE)</f>
        <v>3.1671935114382204</v>
      </c>
      <c r="M86" s="1">
        <f t="shared" si="10"/>
        <v>0.84319740055405601</v>
      </c>
      <c r="N86" s="1">
        <f t="shared" si="11"/>
        <v>0.83767625706548543</v>
      </c>
      <c r="O86" s="1">
        <f t="shared" si="12"/>
        <v>0.83021374943181225</v>
      </c>
      <c r="P86" s="1">
        <f t="shared" si="13"/>
        <v>0.82477762114941333</v>
      </c>
      <c r="Q86" s="1">
        <f t="shared" si="15"/>
        <v>-5.0852203879051157</v>
      </c>
      <c r="R86" s="1">
        <f t="shared" si="16"/>
        <v>0.78735906463368843</v>
      </c>
      <c r="S86" s="1">
        <f>(1-Q86)*(1-R86)*I86+(1-Q86)*R86*J86+Q86*(1-R86)*K86+Q86*R86*L86</f>
        <v>3.6123979686083523</v>
      </c>
      <c r="T86" s="10">
        <f>(1-Q86)*(1-R86)*M86+(1-Q86)*R86*N86+Q86*(1-R86)*O86+Q86*R86*P86</f>
        <v>0.90453461367227694</v>
      </c>
      <c r="U86"/>
      <c r="V86"/>
      <c r="W86"/>
      <c r="X86"/>
      <c r="Y86"/>
      <c r="Z86"/>
      <c r="AA86"/>
      <c r="AB86"/>
      <c r="AC86"/>
      <c r="AD86"/>
      <c r="AE86"/>
      <c r="AF86"/>
    </row>
    <row r="87" spans="2:32" ht="15" customHeight="1" x14ac:dyDescent="0.25">
      <c r="C87" s="35">
        <f t="shared" si="19"/>
        <v>20</v>
      </c>
      <c r="D87" s="35">
        <f>$J$94</f>
        <v>20</v>
      </c>
      <c r="E87" s="1">
        <f t="shared" si="21"/>
        <v>17.773368754242362</v>
      </c>
      <c r="F87" s="1">
        <f t="shared" si="22"/>
        <v>20.2537963707119</v>
      </c>
      <c r="G87" s="1">
        <f t="shared" si="23"/>
        <v>11.666793682350342</v>
      </c>
      <c r="H87" s="1">
        <f t="shared" si="24"/>
        <v>20.441793682350344</v>
      </c>
      <c r="I87" s="1">
        <f t="shared" si="25"/>
        <v>3.2803903337053573</v>
      </c>
      <c r="J87" s="1">
        <f t="shared" si="26"/>
        <v>3.9909144237635195</v>
      </c>
      <c r="K87" s="1">
        <f t="shared" si="27"/>
        <v>3.1245929831499653</v>
      </c>
      <c r="L87" s="1">
        <f t="shared" si="28"/>
        <v>3.8013717686937696</v>
      </c>
      <c r="M87" s="1">
        <f t="shared" si="10"/>
        <v>0.8</v>
      </c>
      <c r="N87" s="1">
        <f t="shared" si="11"/>
        <v>0.79235571582111364</v>
      </c>
      <c r="O87" s="1">
        <f t="shared" si="12"/>
        <v>0.78058879502343004</v>
      </c>
      <c r="P87" s="1">
        <f t="shared" si="13"/>
        <v>0.77312999180341302</v>
      </c>
      <c r="Q87" s="1">
        <f t="shared" si="15"/>
        <v>0.89768039630475682</v>
      </c>
      <c r="R87" s="1">
        <f t="shared" si="16"/>
        <v>0.94965314161249648</v>
      </c>
      <c r="S87" s="1">
        <f t="shared" si="29"/>
        <v>3.7865181744244003</v>
      </c>
      <c r="T87" s="10">
        <f t="shared" si="30"/>
        <v>0.77547364307482269</v>
      </c>
      <c r="U87"/>
      <c r="V87"/>
      <c r="W87"/>
      <c r="X87"/>
      <c r="Y87"/>
      <c r="Z87"/>
      <c r="AA87"/>
      <c r="AB87"/>
      <c r="AC87"/>
      <c r="AD87"/>
      <c r="AE87"/>
      <c r="AF87"/>
    </row>
    <row r="88" spans="2:32" ht="15" customHeight="1" x14ac:dyDescent="0.25">
      <c r="C88" s="35">
        <f t="shared" si="19"/>
        <v>25</v>
      </c>
      <c r="D88" s="35">
        <f>$J$94</f>
        <v>20</v>
      </c>
      <c r="E88" s="1">
        <f t="shared" si="21"/>
        <v>17.773368754242362</v>
      </c>
      <c r="F88" s="1">
        <f t="shared" si="22"/>
        <v>20.2537963707119</v>
      </c>
      <c r="G88" s="1">
        <f t="shared" si="23"/>
        <v>11.666793682350342</v>
      </c>
      <c r="H88" s="1">
        <f t="shared" si="24"/>
        <v>20.441793682350344</v>
      </c>
      <c r="I88" s="1">
        <f t="shared" si="25"/>
        <v>3.2803903337053573</v>
      </c>
      <c r="J88" s="1">
        <f t="shared" si="26"/>
        <v>3.9909144237635195</v>
      </c>
      <c r="K88" s="1">
        <f t="shared" si="27"/>
        <v>3.1245929831499653</v>
      </c>
      <c r="L88" s="1">
        <f t="shared" si="28"/>
        <v>3.8013717686937696</v>
      </c>
      <c r="M88" s="1">
        <f t="shared" si="10"/>
        <v>0.8</v>
      </c>
      <c r="N88" s="1">
        <f t="shared" si="11"/>
        <v>0.79235571582111364</v>
      </c>
      <c r="O88" s="1">
        <f t="shared" si="12"/>
        <v>0.78058879502343004</v>
      </c>
      <c r="P88" s="1">
        <f t="shared" si="13"/>
        <v>0.77312999180341302</v>
      </c>
      <c r="Q88" s="1">
        <f t="shared" si="15"/>
        <v>2.9134618554374532</v>
      </c>
      <c r="R88" s="1">
        <f t="shared" si="16"/>
        <v>0.94965314161249648</v>
      </c>
      <c r="S88" s="1">
        <f t="shared" si="29"/>
        <v>3.4078663569819589</v>
      </c>
      <c r="T88" s="10">
        <f t="shared" si="30"/>
        <v>0.73669996092108114</v>
      </c>
      <c r="U88"/>
      <c r="V88"/>
      <c r="W88"/>
      <c r="X88"/>
      <c r="Y88"/>
      <c r="Z88"/>
      <c r="AA88"/>
      <c r="AB88"/>
      <c r="AC88"/>
      <c r="AD88"/>
      <c r="AE88"/>
      <c r="AF88"/>
    </row>
    <row r="89" spans="2:32" ht="15" customHeight="1" x14ac:dyDescent="0.25">
      <c r="C89" s="35">
        <f t="shared" si="19"/>
        <v>15</v>
      </c>
      <c r="D89" s="35">
        <f>$J$94</f>
        <v>20</v>
      </c>
      <c r="E89" s="1">
        <f t="shared" si="21"/>
        <v>14.993117468569283</v>
      </c>
      <c r="F89" s="1">
        <f t="shared" si="22"/>
        <v>16.793749018824194</v>
      </c>
      <c r="G89" s="1">
        <f t="shared" si="23"/>
        <v>11.666793682350342</v>
      </c>
      <c r="H89" s="1">
        <f t="shared" si="24"/>
        <v>20.441793682350344</v>
      </c>
      <c r="I89" s="1">
        <f t="shared" si="25"/>
        <v>3.4550198134410364</v>
      </c>
      <c r="J89" s="1">
        <f t="shared" si="26"/>
        <v>4.2033681986483584</v>
      </c>
      <c r="K89" s="1">
        <f t="shared" si="27"/>
        <v>3.3419209175113687</v>
      </c>
      <c r="L89" s="1">
        <f t="shared" si="28"/>
        <v>4.0657723734077695</v>
      </c>
      <c r="M89" s="1">
        <f t="shared" si="10"/>
        <v>0.8217575498814137</v>
      </c>
      <c r="N89" s="1">
        <f t="shared" si="11"/>
        <v>0.81390536458461504</v>
      </c>
      <c r="O89" s="1">
        <f t="shared" si="12"/>
        <v>0.80766625857454388</v>
      </c>
      <c r="P89" s="1">
        <f t="shared" si="13"/>
        <v>0.79994872057174171</v>
      </c>
      <c r="Q89" s="1">
        <f t="shared" si="15"/>
        <v>3.8222874800471654E-3</v>
      </c>
      <c r="R89" s="1">
        <f t="shared" si="16"/>
        <v>0.94965314161249648</v>
      </c>
      <c r="S89" s="1">
        <f t="shared" si="29"/>
        <v>4.165169991866839</v>
      </c>
      <c r="T89" s="10">
        <f t="shared" si="30"/>
        <v>0.81424732522856391</v>
      </c>
      <c r="U89"/>
      <c r="V89"/>
      <c r="W89"/>
      <c r="X89"/>
      <c r="Y89"/>
      <c r="Z89"/>
      <c r="AA89"/>
      <c r="AB89"/>
      <c r="AC89"/>
      <c r="AD89"/>
      <c r="AE89"/>
      <c r="AF89"/>
    </row>
    <row r="90" spans="2:32" ht="15" customHeight="1" x14ac:dyDescent="0.25">
      <c r="C90" s="35">
        <f t="shared" si="19"/>
        <v>10</v>
      </c>
      <c r="D90" s="35">
        <f>$J$94</f>
        <v>20</v>
      </c>
      <c r="E90" s="1">
        <f t="shared" si="21"/>
        <v>13.350922637231466</v>
      </c>
      <c r="F90" s="1">
        <f t="shared" si="22"/>
        <v>14.993117468569283</v>
      </c>
      <c r="G90" s="1">
        <f t="shared" si="23"/>
        <v>11.666793682350342</v>
      </c>
      <c r="H90" s="1">
        <f t="shared" si="24"/>
        <v>20.441793682350344</v>
      </c>
      <c r="I90" s="1">
        <f t="shared" si="25"/>
        <v>3.5581671909816679</v>
      </c>
      <c r="J90" s="1">
        <f t="shared" si="26"/>
        <v>4.3288570322699682</v>
      </c>
      <c r="K90" s="1">
        <f t="shared" si="27"/>
        <v>3.4550198134410364</v>
      </c>
      <c r="L90" s="1">
        <f t="shared" si="28"/>
        <v>4.2033681986483584</v>
      </c>
      <c r="M90" s="1">
        <f t="shared" si="10"/>
        <v>0.83460895512739064</v>
      </c>
      <c r="N90" s="1">
        <f t="shared" si="11"/>
        <v>0.82663397008834416</v>
      </c>
      <c r="O90" s="1">
        <f t="shared" si="12"/>
        <v>0.8217575498814137</v>
      </c>
      <c r="P90" s="1">
        <f t="shared" si="13"/>
        <v>0.81390536458461504</v>
      </c>
      <c r="Q90" s="1">
        <f t="shared" si="15"/>
        <v>-2.0405146656695008</v>
      </c>
      <c r="R90" s="1">
        <f t="shared" si="16"/>
        <v>0.94965314161249648</v>
      </c>
      <c r="S90" s="1">
        <f t="shared" si="29"/>
        <v>4.5438218093092821</v>
      </c>
      <c r="T90" s="10">
        <f t="shared" si="30"/>
        <v>0.85302100738230591</v>
      </c>
      <c r="U90"/>
      <c r="V90"/>
      <c r="W90"/>
      <c r="X90"/>
      <c r="Y90"/>
      <c r="Z90"/>
      <c r="AA90"/>
      <c r="AB90"/>
      <c r="AC90"/>
      <c r="AD90"/>
      <c r="AE90"/>
      <c r="AF90"/>
    </row>
    <row r="91" spans="2:32" ht="15" customHeight="1" x14ac:dyDescent="0.25">
      <c r="C91" s="35">
        <f t="shared" si="19"/>
        <v>5</v>
      </c>
      <c r="D91" s="35">
        <f>$J$94</f>
        <v>20</v>
      </c>
      <c r="E91" s="1">
        <f t="shared" si="21"/>
        <v>13.350922637231466</v>
      </c>
      <c r="F91" s="1">
        <f t="shared" si="22"/>
        <v>14.993117468569283</v>
      </c>
      <c r="G91" s="1">
        <f t="shared" si="23"/>
        <v>11.666793682350342</v>
      </c>
      <c r="H91" s="1">
        <f t="shared" si="24"/>
        <v>20.441793682350344</v>
      </c>
      <c r="I91" s="1">
        <f t="shared" si="25"/>
        <v>3.5581671909816679</v>
      </c>
      <c r="J91" s="1">
        <f t="shared" si="26"/>
        <v>4.3288570322699682</v>
      </c>
      <c r="K91" s="1">
        <f t="shared" si="27"/>
        <v>3.4550198134410364</v>
      </c>
      <c r="L91" s="1">
        <f t="shared" si="28"/>
        <v>4.2033681986483584</v>
      </c>
      <c r="M91" s="1">
        <f t="shared" si="10"/>
        <v>0.83460895512739064</v>
      </c>
      <c r="N91" s="1">
        <f t="shared" si="11"/>
        <v>0.82663397008834416</v>
      </c>
      <c r="O91" s="1">
        <f t="shared" si="12"/>
        <v>0.8217575498814137</v>
      </c>
      <c r="P91" s="1">
        <f t="shared" si="13"/>
        <v>0.81390536458461504</v>
      </c>
      <c r="Q91" s="1">
        <f t="shared" si="15"/>
        <v>-5.0852203879051157</v>
      </c>
      <c r="R91" s="1">
        <f t="shared" si="16"/>
        <v>0.94965314161249648</v>
      </c>
      <c r="S91" s="1">
        <f t="shared" si="29"/>
        <v>4.9224736267517244</v>
      </c>
      <c r="T91" s="10">
        <f t="shared" si="30"/>
        <v>0.89179468953604735</v>
      </c>
      <c r="U91"/>
      <c r="V91"/>
      <c r="W91"/>
      <c r="X91"/>
      <c r="Y91"/>
      <c r="Z91"/>
      <c r="AA91"/>
      <c r="AB91"/>
      <c r="AC91"/>
      <c r="AD91"/>
      <c r="AE91"/>
      <c r="AF91"/>
    </row>
    <row r="92" spans="2:32" ht="14.25" customHeight="1" x14ac:dyDescent="0.25">
      <c r="U92"/>
      <c r="V92"/>
      <c r="W92"/>
      <c r="X92"/>
      <c r="Y92"/>
      <c r="Z92"/>
      <c r="AA92"/>
      <c r="AB92"/>
      <c r="AC92"/>
      <c r="AD92"/>
      <c r="AE92"/>
      <c r="AF92"/>
    </row>
    <row r="93" spans="2:32" x14ac:dyDescent="0.25">
      <c r="C93" s="31" t="s">
        <v>50</v>
      </c>
      <c r="D93" s="26"/>
      <c r="E93" s="26"/>
      <c r="F93" s="145" t="s">
        <v>100</v>
      </c>
      <c r="G93" s="146"/>
      <c r="H93" s="146"/>
      <c r="I93" s="146"/>
      <c r="J93" s="147"/>
      <c r="L93" s="31" t="s">
        <v>2</v>
      </c>
      <c r="M93" s="26"/>
      <c r="N93" s="26"/>
      <c r="O93" s="145" t="s">
        <v>100</v>
      </c>
      <c r="P93" s="146"/>
      <c r="Q93" s="146"/>
      <c r="R93" s="146"/>
      <c r="S93" s="147"/>
      <c r="U93"/>
      <c r="V93"/>
      <c r="W93"/>
      <c r="X93"/>
      <c r="Y93"/>
      <c r="Z93"/>
      <c r="AA93"/>
      <c r="AB93"/>
      <c r="AC93"/>
      <c r="AD93"/>
      <c r="AE93"/>
      <c r="AF93"/>
    </row>
    <row r="94" spans="2:32" x14ac:dyDescent="0.25">
      <c r="C94" s="33" t="s">
        <v>4</v>
      </c>
      <c r="D94" s="26"/>
      <c r="E94" s="26"/>
      <c r="F94" s="27">
        <v>-15</v>
      </c>
      <c r="G94" s="27">
        <v>-7</v>
      </c>
      <c r="H94" s="27">
        <v>2</v>
      </c>
      <c r="I94" s="27">
        <v>7</v>
      </c>
      <c r="J94" s="27">
        <v>20</v>
      </c>
      <c r="L94" s="33" t="s">
        <v>3</v>
      </c>
      <c r="M94" s="26"/>
      <c r="N94" s="26"/>
      <c r="O94" s="27">
        <f>F94</f>
        <v>-15</v>
      </c>
      <c r="P94" s="27">
        <f>G94</f>
        <v>-7</v>
      </c>
      <c r="Q94" s="27">
        <f>H94</f>
        <v>2</v>
      </c>
      <c r="R94" s="27">
        <f>I94</f>
        <v>7</v>
      </c>
      <c r="S94" s="27">
        <f>J94</f>
        <v>20</v>
      </c>
      <c r="U94"/>
      <c r="V94"/>
      <c r="W94"/>
      <c r="X94"/>
      <c r="Y94"/>
      <c r="Z94"/>
      <c r="AA94"/>
      <c r="AB94"/>
      <c r="AC94"/>
      <c r="AD94"/>
      <c r="AE94"/>
      <c r="AF94"/>
    </row>
    <row r="95" spans="2:32" x14ac:dyDescent="0.25">
      <c r="C95" s="26"/>
      <c r="D95" s="26"/>
      <c r="E95" s="22" t="s">
        <v>1</v>
      </c>
      <c r="F95" s="23">
        <v>5</v>
      </c>
      <c r="G95" s="23">
        <v>2</v>
      </c>
      <c r="H95" s="23">
        <v>3</v>
      </c>
      <c r="I95" s="23">
        <v>1</v>
      </c>
      <c r="J95" s="23">
        <v>4</v>
      </c>
      <c r="L95" s="26"/>
      <c r="M95" s="26"/>
      <c r="N95" s="22" t="s">
        <v>1</v>
      </c>
      <c r="O95" s="23">
        <v>5</v>
      </c>
      <c r="P95" s="23">
        <v>2</v>
      </c>
      <c r="Q95" s="23">
        <v>3</v>
      </c>
      <c r="R95" s="23">
        <v>1</v>
      </c>
      <c r="S95" s="23">
        <v>4</v>
      </c>
      <c r="U95"/>
      <c r="V95"/>
      <c r="W95"/>
      <c r="X95"/>
      <c r="Y95"/>
      <c r="Z95"/>
      <c r="AA95"/>
      <c r="AB95"/>
      <c r="AC95"/>
      <c r="AD95"/>
      <c r="AE95"/>
      <c r="AF95"/>
    </row>
    <row r="96" spans="2:32" ht="15" customHeight="1" x14ac:dyDescent="0.25">
      <c r="C96" s="136" t="s">
        <v>101</v>
      </c>
      <c r="D96" s="27">
        <v>5</v>
      </c>
      <c r="E96" s="23">
        <v>5</v>
      </c>
      <c r="F96" s="6">
        <f>S81</f>
        <v>1.3953468548272525</v>
      </c>
      <c r="G96" s="6">
        <f>S76</f>
        <v>2.2015472598385681</v>
      </c>
      <c r="H96" s="6">
        <f>S71</f>
        <v>3.1085227154762869</v>
      </c>
      <c r="I96" s="6">
        <f>S86</f>
        <v>3.6123979686083523</v>
      </c>
      <c r="J96" s="5">
        <f>S91</f>
        <v>4.9224736267517244</v>
      </c>
      <c r="L96" s="136" t="s">
        <v>101</v>
      </c>
      <c r="M96" s="27">
        <f>D96</f>
        <v>5</v>
      </c>
      <c r="N96" s="23">
        <v>5</v>
      </c>
      <c r="O96" s="6">
        <f>T81</f>
        <v>0.92609448528743066</v>
      </c>
      <c r="P96" s="6">
        <f>T76</f>
        <v>0.91825453197283124</v>
      </c>
      <c r="Q96" s="6">
        <f>T71</f>
        <v>0.90943458449390313</v>
      </c>
      <c r="R96" s="6">
        <f>T86</f>
        <v>0.90453461367227694</v>
      </c>
      <c r="S96" s="5">
        <f>T91</f>
        <v>0.89179468953604735</v>
      </c>
      <c r="U96"/>
      <c r="V96"/>
      <c r="W96"/>
      <c r="X96"/>
      <c r="Y96"/>
      <c r="Z96"/>
      <c r="AA96"/>
      <c r="AB96"/>
      <c r="AC96"/>
      <c r="AD96"/>
      <c r="AE96"/>
      <c r="AF96"/>
    </row>
    <row r="97" spans="3:32" x14ac:dyDescent="0.25">
      <c r="C97" s="137"/>
      <c r="D97" s="27">
        <v>10</v>
      </c>
      <c r="E97" s="23">
        <v>4</v>
      </c>
      <c r="F97" s="6">
        <f>S80</f>
        <v>1.2880124813790097</v>
      </c>
      <c r="G97" s="6">
        <f>S75</f>
        <v>2.0321974706202139</v>
      </c>
      <c r="H97" s="6">
        <f>S70</f>
        <v>2.8694055835165706</v>
      </c>
      <c r="I97" s="6">
        <f>S85</f>
        <v>3.3345212017923247</v>
      </c>
      <c r="J97" s="5">
        <f>S90</f>
        <v>4.5438218093092821</v>
      </c>
      <c r="L97" s="137"/>
      <c r="M97" s="27">
        <f>D97</f>
        <v>10</v>
      </c>
      <c r="N97" s="23">
        <v>4</v>
      </c>
      <c r="O97" s="6">
        <f>T80</f>
        <v>0.88582950766624213</v>
      </c>
      <c r="P97" s="6">
        <f>T75</f>
        <v>0.87833042188705535</v>
      </c>
      <c r="Q97" s="6">
        <f>T70</f>
        <v>0.8698939503854719</v>
      </c>
      <c r="R97" s="6">
        <f>T85</f>
        <v>0.86520702177348108</v>
      </c>
      <c r="S97" s="5">
        <f>T90</f>
        <v>0.85302100738230591</v>
      </c>
      <c r="U97"/>
      <c r="V97"/>
      <c r="W97"/>
      <c r="X97"/>
      <c r="Y97"/>
      <c r="Z97"/>
      <c r="AA97"/>
      <c r="AB97"/>
      <c r="AC97"/>
      <c r="AD97"/>
      <c r="AE97"/>
      <c r="AF97"/>
    </row>
    <row r="98" spans="3:32" x14ac:dyDescent="0.25">
      <c r="C98" s="137"/>
      <c r="D98" s="27">
        <v>15</v>
      </c>
      <c r="E98" s="23">
        <v>2</v>
      </c>
      <c r="F98" s="6">
        <f>S79</f>
        <v>1.1806781079307591</v>
      </c>
      <c r="G98" s="6">
        <f>S74</f>
        <v>1.8628476814018624</v>
      </c>
      <c r="H98" s="6">
        <f>S69</f>
        <v>2.6302884515568548</v>
      </c>
      <c r="I98" s="6">
        <f>S84</f>
        <v>3.0566444349762953</v>
      </c>
      <c r="J98" s="5">
        <f>S89</f>
        <v>4.165169991866839</v>
      </c>
      <c r="L98" s="137"/>
      <c r="M98" s="27">
        <f>D98</f>
        <v>15</v>
      </c>
      <c r="N98" s="23">
        <v>2</v>
      </c>
      <c r="O98" s="6">
        <f>T79</f>
        <v>0.8455645300450475</v>
      </c>
      <c r="P98" s="6">
        <f>T74</f>
        <v>0.83840631180127956</v>
      </c>
      <c r="Q98" s="6">
        <f>T69</f>
        <v>0.83035331627704101</v>
      </c>
      <c r="R98" s="6">
        <f>T84</f>
        <v>0.82587942987468621</v>
      </c>
      <c r="S98" s="5">
        <f>T89</f>
        <v>0.81424732522856391</v>
      </c>
      <c r="U98"/>
      <c r="V98"/>
      <c r="W98"/>
      <c r="X98"/>
      <c r="Y98"/>
      <c r="Z98"/>
      <c r="AA98"/>
      <c r="AB98"/>
      <c r="AC98"/>
      <c r="AD98"/>
      <c r="AE98"/>
      <c r="AF98"/>
    </row>
    <row r="99" spans="3:32" x14ac:dyDescent="0.25">
      <c r="C99" s="137"/>
      <c r="D99" s="27">
        <v>20</v>
      </c>
      <c r="E99" s="23">
        <v>1</v>
      </c>
      <c r="F99" s="6">
        <f>S77</f>
        <v>1.0733437344825063</v>
      </c>
      <c r="G99" s="6">
        <f>S72</f>
        <v>1.6934978921835113</v>
      </c>
      <c r="H99" s="6">
        <f>S67</f>
        <v>2.3911713195971416</v>
      </c>
      <c r="I99" s="6">
        <f>S82</f>
        <v>2.7787676681602687</v>
      </c>
      <c r="J99" s="5">
        <f>S87</f>
        <v>3.7865181744244003</v>
      </c>
      <c r="L99" s="137"/>
      <c r="M99" s="27">
        <f>D99</f>
        <v>20</v>
      </c>
      <c r="N99" s="23">
        <v>1</v>
      </c>
      <c r="O99" s="6">
        <f>T77</f>
        <v>0.80529955242385487</v>
      </c>
      <c r="P99" s="6">
        <f>T72</f>
        <v>0.79848220171550466</v>
      </c>
      <c r="Q99" s="6">
        <f>T67</f>
        <v>0.79081268216861034</v>
      </c>
      <c r="R99" s="6">
        <f>T82</f>
        <v>0.78655183797589168</v>
      </c>
      <c r="S99" s="5">
        <f>T87</f>
        <v>0.77547364307482269</v>
      </c>
      <c r="U99"/>
      <c r="V99"/>
      <c r="W99"/>
      <c r="X99"/>
      <c r="Y99"/>
      <c r="Z99"/>
      <c r="AA99"/>
      <c r="AB99"/>
      <c r="AC99"/>
      <c r="AD99"/>
      <c r="AE99"/>
      <c r="AF99"/>
    </row>
    <row r="100" spans="3:32" x14ac:dyDescent="0.25">
      <c r="C100" s="138"/>
      <c r="D100" s="27">
        <v>25</v>
      </c>
      <c r="E100" s="23">
        <v>3</v>
      </c>
      <c r="F100" s="6">
        <f>S78</f>
        <v>0.96600936103425639</v>
      </c>
      <c r="G100" s="6">
        <f>S73</f>
        <v>1.5241481029651585</v>
      </c>
      <c r="H100" s="6">
        <f>S68</f>
        <v>2.1520541876374271</v>
      </c>
      <c r="I100" s="5">
        <f>S83</f>
        <v>2.5008909013442411</v>
      </c>
      <c r="J100" s="5">
        <f>S88</f>
        <v>3.4078663569819589</v>
      </c>
      <c r="L100" s="138"/>
      <c r="M100" s="27">
        <f>D100</f>
        <v>25</v>
      </c>
      <c r="N100" s="23">
        <v>3</v>
      </c>
      <c r="O100" s="6">
        <f>T78</f>
        <v>0.76503457480266146</v>
      </c>
      <c r="P100" s="6">
        <f>T73</f>
        <v>0.75855809162972831</v>
      </c>
      <c r="Q100" s="6">
        <f>T68</f>
        <v>0.75127204806017955</v>
      </c>
      <c r="R100" s="5">
        <f>T83</f>
        <v>0.74722424607709703</v>
      </c>
      <c r="S100" s="5">
        <f>T88</f>
        <v>0.73669996092108114</v>
      </c>
      <c r="U100"/>
      <c r="V100"/>
      <c r="W100"/>
      <c r="X100"/>
      <c r="Y100"/>
      <c r="Z100"/>
      <c r="AA100"/>
      <c r="AB100"/>
      <c r="AC100"/>
      <c r="AD100"/>
      <c r="AE100"/>
      <c r="AF100"/>
    </row>
    <row r="102" spans="3:32" x14ac:dyDescent="0.25">
      <c r="C102" s="162" t="s">
        <v>99</v>
      </c>
      <c r="D102" s="163"/>
      <c r="E102" s="59">
        <f>IF(E19="","/",N43)</f>
        <v>-59.883206317649652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V102"/>
      <c r="W102"/>
      <c r="X102"/>
      <c r="Y102"/>
      <c r="Z102"/>
      <c r="AA102"/>
      <c r="AB102"/>
      <c r="AC102"/>
      <c r="AD102"/>
      <c r="AE102"/>
      <c r="AF102"/>
    </row>
    <row r="103" spans="3:32" x14ac:dyDescent="0.25"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V103"/>
      <c r="W103"/>
      <c r="X103"/>
      <c r="Y103"/>
      <c r="Z103"/>
      <c r="AA103"/>
      <c r="AB103"/>
      <c r="AC103"/>
      <c r="AD103"/>
      <c r="AE103"/>
      <c r="AF103"/>
    </row>
    <row r="104" spans="3:32" x14ac:dyDescent="0.25"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/>
      <c r="W104"/>
      <c r="X104"/>
      <c r="Y104"/>
      <c r="Z104"/>
      <c r="AA104"/>
      <c r="AB104"/>
      <c r="AC104"/>
      <c r="AD104"/>
      <c r="AE104"/>
      <c r="AF104"/>
    </row>
    <row r="105" spans="3:32" x14ac:dyDescent="0.25"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/>
      <c r="W105"/>
      <c r="X105"/>
      <c r="Y105"/>
      <c r="Z105"/>
      <c r="AA105"/>
      <c r="AB105"/>
      <c r="AC105"/>
      <c r="AD105"/>
      <c r="AE105"/>
      <c r="AF105"/>
    </row>
    <row r="106" spans="3:32" x14ac:dyDescent="0.25"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/>
      <c r="W106"/>
      <c r="X106"/>
      <c r="Y106"/>
      <c r="Z106"/>
      <c r="AA106"/>
      <c r="AB106"/>
      <c r="AC106"/>
      <c r="AD106"/>
      <c r="AE106"/>
      <c r="AF106"/>
    </row>
    <row r="107" spans="3:32" x14ac:dyDescent="0.25">
      <c r="F107" s="44"/>
      <c r="G107" s="44"/>
      <c r="H107" s="44"/>
      <c r="I107" s="44"/>
      <c r="J107" s="44"/>
      <c r="Q107" s="44"/>
      <c r="R107" s="44"/>
      <c r="S107" s="44"/>
      <c r="T107" s="44"/>
      <c r="U107" s="44"/>
      <c r="V107"/>
      <c r="W107"/>
      <c r="X107"/>
      <c r="Y107"/>
      <c r="Z107"/>
      <c r="AA107"/>
      <c r="AB107"/>
      <c r="AC107"/>
      <c r="AD107"/>
      <c r="AE107"/>
      <c r="AF107"/>
    </row>
    <row r="108" spans="3:32" x14ac:dyDescent="0.25">
      <c r="F108" s="44"/>
      <c r="G108" s="44"/>
      <c r="H108" s="44"/>
      <c r="I108" s="44"/>
      <c r="J108" s="44"/>
      <c r="Q108" s="44"/>
      <c r="R108" s="44"/>
      <c r="S108" s="44"/>
      <c r="T108" s="44"/>
      <c r="U108" s="44"/>
      <c r="V108"/>
      <c r="W108"/>
      <c r="X108"/>
      <c r="Y108"/>
      <c r="Z108"/>
      <c r="AA108"/>
      <c r="AB108"/>
      <c r="AC108"/>
      <c r="AD108"/>
      <c r="AE108"/>
      <c r="AF108"/>
    </row>
  </sheetData>
  <mergeCells count="13">
    <mergeCell ref="C102:D102"/>
    <mergeCell ref="F19:Q19"/>
    <mergeCell ref="C30:C32"/>
    <mergeCell ref="H30:H32"/>
    <mergeCell ref="C96:C100"/>
    <mergeCell ref="F93:J93"/>
    <mergeCell ref="F53:J53"/>
    <mergeCell ref="B34:R34"/>
    <mergeCell ref="B56:B60"/>
    <mergeCell ref="M56:M60"/>
    <mergeCell ref="Q53:U53"/>
    <mergeCell ref="L96:L100"/>
    <mergeCell ref="O93:S93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AF106"/>
  <sheetViews>
    <sheetView topLeftCell="A4" workbookViewId="0">
      <selection activeCell="O15" sqref="O15"/>
    </sheetView>
  </sheetViews>
  <sheetFormatPr baseColWidth="10" defaultColWidth="9.140625" defaultRowHeight="15" x14ac:dyDescent="0.25"/>
  <cols>
    <col min="1" max="2" width="9.140625" style="11" customWidth="1"/>
    <col min="3" max="3" width="8.42578125" style="11" customWidth="1"/>
    <col min="4" max="4" width="9" style="11" customWidth="1"/>
    <col min="5" max="5" width="7.140625" style="11" customWidth="1"/>
    <col min="6" max="6" width="8.28515625" style="11" customWidth="1"/>
    <col min="7" max="8" width="7.140625" style="11" customWidth="1"/>
    <col min="9" max="9" width="7" style="11" bestFit="1" customWidth="1"/>
    <col min="10" max="10" width="7.140625" style="11" customWidth="1"/>
    <col min="11" max="11" width="7.7109375" style="11" customWidth="1"/>
    <col min="12" max="12" width="9.28515625" style="11" customWidth="1"/>
    <col min="13" max="17" width="7.140625" style="11" customWidth="1"/>
    <col min="18" max="18" width="8.42578125" style="11" customWidth="1"/>
    <col min="19" max="19" width="7.42578125" style="11" customWidth="1"/>
    <col min="20" max="23" width="7.140625" style="11" customWidth="1"/>
    <col min="24" max="28" width="7.28515625" style="11" customWidth="1"/>
    <col min="29" max="30" width="6.7109375" style="11" customWidth="1"/>
    <col min="31" max="31" width="9.42578125" style="11" customWidth="1"/>
    <col min="32" max="42" width="6.42578125" customWidth="1"/>
    <col min="43" max="43" width="10.85546875" customWidth="1"/>
    <col min="44" max="51" width="6.42578125" customWidth="1"/>
  </cols>
  <sheetData>
    <row r="2" spans="2:32" ht="15.75" customHeight="1" x14ac:dyDescent="0.25">
      <c r="B2" s="19" t="s">
        <v>47</v>
      </c>
      <c r="E2" s="19"/>
    </row>
    <row r="3" spans="2:32" ht="15.75" customHeight="1" x14ac:dyDescent="0.25">
      <c r="B3" s="109" t="s">
        <v>145</v>
      </c>
      <c r="C3" s="109"/>
      <c r="D3" s="109"/>
      <c r="E3" s="19"/>
      <c r="AF3" s="11"/>
    </row>
    <row r="4" spans="2:32" ht="15.75" customHeight="1" x14ac:dyDescent="0.25">
      <c r="D4" s="20" t="s">
        <v>126</v>
      </c>
      <c r="E4" s="114">
        <f>MIN('Mode refroidissement'!F25*VLOOKUP(Statut_fr,Ressources!B7:D9,2,FALSE),VLOOKUP(Statut_fr,Ressources!B7:D9,3,FALSE))</f>
        <v>0.75</v>
      </c>
      <c r="F4" s="11" t="s">
        <v>146</v>
      </c>
      <c r="AF4" s="11"/>
    </row>
    <row r="5" spans="2:32" ht="15.75" customHeight="1" x14ac:dyDescent="0.25">
      <c r="D5" s="20" t="s">
        <v>130</v>
      </c>
      <c r="E5" s="114">
        <f>$E$4*(1-0.4*LN('Mode refroidissement'!F22/'Mode refroidissement'!F18))</f>
        <v>0.63208722356711777</v>
      </c>
      <c r="F5" s="11" t="s">
        <v>147</v>
      </c>
      <c r="AF5" s="11"/>
    </row>
    <row r="6" spans="2:32" ht="15.75" customHeight="1" x14ac:dyDescent="0.25">
      <c r="D6" s="20" t="s">
        <v>128</v>
      </c>
      <c r="E6" s="114">
        <f>IF(Dispo_eff_fr=Ressources!F3,$E$4,$E$5)</f>
        <v>0.75</v>
      </c>
      <c r="F6" s="11" t="s">
        <v>148</v>
      </c>
      <c r="AF6" s="11"/>
    </row>
    <row r="7" spans="2:32" ht="15.75" customHeight="1" x14ac:dyDescent="0.25">
      <c r="D7" s="20"/>
      <c r="E7" s="114"/>
      <c r="AF7" s="11"/>
    </row>
    <row r="8" spans="2:32" ht="15" customHeight="1" x14ac:dyDescent="0.25">
      <c r="B8" s="109" t="s">
        <v>144</v>
      </c>
      <c r="C8" s="109"/>
      <c r="D8" s="109"/>
      <c r="E8" s="114"/>
      <c r="AF8" s="11"/>
    </row>
    <row r="9" spans="2:32" ht="15.75" customHeight="1" x14ac:dyDescent="0.25">
      <c r="D9" s="20" t="s">
        <v>28</v>
      </c>
      <c r="E9" s="114">
        <f>MIN('Mode refroidissement'!F30*VLOOKUP(Statut_fr,Ressources!B7:D9,2,FALSE),VLOOKUP(Statut_fr,Ressources!B7:D9,3,FALSE))</f>
        <v>0.75</v>
      </c>
      <c r="F9" s="11" t="s">
        <v>146</v>
      </c>
      <c r="AF9" s="11"/>
    </row>
    <row r="10" spans="2:32" ht="15.75" customHeight="1" x14ac:dyDescent="0.25">
      <c r="B10" s="19"/>
      <c r="E10" s="19"/>
    </row>
    <row r="11" spans="2:32" ht="15.75" customHeight="1" x14ac:dyDescent="0.25">
      <c r="D11" s="20" t="s">
        <v>28</v>
      </c>
      <c r="E11" s="106">
        <f>IF(Id_mode_fr=Ressources!B12,E6,E9)</f>
        <v>0.75</v>
      </c>
      <c r="F11" s="11" t="s">
        <v>42</v>
      </c>
    </row>
    <row r="12" spans="2:32" ht="15.75" customHeight="1" x14ac:dyDescent="0.25">
      <c r="D12" s="20" t="s">
        <v>26</v>
      </c>
      <c r="E12" s="12">
        <f>IF(Id_mode_fr=Ressources!B12,'Mode refroidissement'!F22,'Mode refroidissement'!F18)</f>
        <v>135</v>
      </c>
      <c r="F12" s="11" t="s">
        <v>38</v>
      </c>
    </row>
    <row r="13" spans="2:32" ht="15.75" customHeight="1" x14ac:dyDescent="0.25">
      <c r="D13" s="41" t="s">
        <v>49</v>
      </c>
      <c r="E13" s="12">
        <f>IF(Id_mode_fr=Ressources!B12,0,'Mode refroidissement'!F28)</f>
        <v>100</v>
      </c>
      <c r="F13" s="11" t="s">
        <v>41</v>
      </c>
    </row>
    <row r="14" spans="2:32" ht="15.75" customHeight="1" x14ac:dyDescent="0.25">
      <c r="D14" s="20" t="s">
        <v>30</v>
      </c>
      <c r="E14" s="12">
        <f>IF(Id_mode_fr=Ressources!B12,'Mode refroidissement'!F23,'Mode refroidissement'!F19)</f>
        <v>135</v>
      </c>
      <c r="F14" s="11" t="s">
        <v>39</v>
      </c>
    </row>
    <row r="15" spans="2:32" ht="15.75" customHeight="1" x14ac:dyDescent="0.25">
      <c r="D15" s="41" t="s">
        <v>48</v>
      </c>
      <c r="E15" s="12">
        <f>IF(Id_mode_fr=Ressources!B12,0,'Mode refroidissement'!F29)</f>
        <v>0</v>
      </c>
      <c r="F15" s="11" t="s">
        <v>40</v>
      </c>
    </row>
    <row r="16" spans="2:32" ht="15.75" customHeight="1" x14ac:dyDescent="0.25">
      <c r="D16" s="20" t="s">
        <v>36</v>
      </c>
      <c r="E16" s="12">
        <f>'Mode refroidissement'!F33</f>
        <v>25</v>
      </c>
      <c r="F16" s="11" t="s">
        <v>63</v>
      </c>
    </row>
    <row r="17" spans="3:23" s="11" customFormat="1" ht="15.75" customHeight="1" x14ac:dyDescent="0.25">
      <c r="D17" s="20" t="s">
        <v>35</v>
      </c>
      <c r="E17" s="12">
        <f>'Mode refroidissement'!F34</f>
        <v>25</v>
      </c>
      <c r="F17" s="11" t="s">
        <v>64</v>
      </c>
    </row>
    <row r="18" spans="3:23" s="11" customFormat="1" ht="15.75" customHeight="1" x14ac:dyDescent="0.25">
      <c r="D18" s="20"/>
      <c r="E18" s="12"/>
    </row>
    <row r="19" spans="3:23" s="11" customFormat="1" ht="15.75" customHeight="1" x14ac:dyDescent="0.25">
      <c r="D19" s="20" t="s">
        <v>76</v>
      </c>
      <c r="E19" s="12">
        <f>IF(Qsouf=0,0,IF(OR(AND(Id_mode_fr=Ressources!B12,Eff_ech_fr=0),AND(Id_mode_fr=Ressources!B13,Qrecycl_souf=0)),0,1))</f>
        <v>1</v>
      </c>
      <c r="F19" s="11" t="s">
        <v>77</v>
      </c>
    </row>
    <row r="20" spans="3:23" s="11" customFormat="1" ht="15.75" customHeight="1" x14ac:dyDescent="0.25">
      <c r="D20" s="20"/>
      <c r="E20" s="12"/>
    </row>
    <row r="21" spans="3:23" s="11" customFormat="1" ht="15.75" customHeight="1" x14ac:dyDescent="0.25">
      <c r="D21" s="20" t="s">
        <v>37</v>
      </c>
      <c r="E21" s="12">
        <v>20</v>
      </c>
    </row>
    <row r="22" spans="3:23" s="11" customFormat="1" ht="15.75" customHeight="1" x14ac:dyDescent="0.25">
      <c r="D22" s="20" t="s">
        <v>29</v>
      </c>
      <c r="E22" s="12">
        <v>1.2</v>
      </c>
    </row>
    <row r="23" spans="3:23" s="11" customFormat="1" ht="15.75" customHeight="1" x14ac:dyDescent="0.25">
      <c r="D23" s="20" t="s">
        <v>27</v>
      </c>
      <c r="E23" s="12">
        <v>1006</v>
      </c>
    </row>
    <row r="24" spans="3:23" s="11" customFormat="1" ht="15.75" customHeight="1" x14ac:dyDescent="0.25">
      <c r="D24" s="20" t="s">
        <v>152</v>
      </c>
      <c r="E24" s="12">
        <v>1830</v>
      </c>
    </row>
    <row r="25" spans="3:23" s="11" customFormat="1" ht="15.75" customHeight="1" x14ac:dyDescent="0.25">
      <c r="D25" s="20" t="s">
        <v>153</v>
      </c>
      <c r="E25" s="165">
        <v>2501000</v>
      </c>
      <c r="F25" s="165"/>
    </row>
    <row r="26" spans="3:23" s="11" customFormat="1" ht="15.75" customHeight="1" x14ac:dyDescent="0.25"/>
    <row r="27" spans="3:23" s="11" customFormat="1" ht="18" customHeight="1" x14ac:dyDescent="0.25">
      <c r="C27" s="19" t="s">
        <v>67</v>
      </c>
      <c r="F27" s="43" t="s">
        <v>31</v>
      </c>
      <c r="H27" s="19" t="s">
        <v>23</v>
      </c>
      <c r="K27" s="43" t="s">
        <v>31</v>
      </c>
      <c r="U27" s="26"/>
      <c r="V27" s="26"/>
      <c r="W27" s="26"/>
    </row>
    <row r="28" spans="3:23" s="11" customFormat="1" ht="15.75" customHeight="1" x14ac:dyDescent="0.25">
      <c r="C28" s="21" t="s">
        <v>4</v>
      </c>
      <c r="F28" s="22">
        <f>'Mode refroidissement'!F37</f>
        <v>27</v>
      </c>
      <c r="H28" s="11" t="s">
        <v>3</v>
      </c>
      <c r="K28" s="22">
        <f>F28</f>
        <v>27</v>
      </c>
    </row>
    <row r="29" spans="3:23" s="11" customFormat="1" ht="15.75" customHeight="1" x14ac:dyDescent="0.25">
      <c r="E29" s="74" t="s">
        <v>1</v>
      </c>
      <c r="F29" s="95">
        <v>1</v>
      </c>
      <c r="J29" s="74" t="s">
        <v>1</v>
      </c>
      <c r="K29" s="95">
        <v>1</v>
      </c>
      <c r="M29" s="26"/>
    </row>
    <row r="30" spans="3:23" s="11" customFormat="1" ht="15.75" customHeight="1" x14ac:dyDescent="0.25">
      <c r="C30" s="136" t="s">
        <v>32</v>
      </c>
      <c r="D30" s="22">
        <f>'Mode refroidissement'!D39</f>
        <v>35</v>
      </c>
      <c r="E30" s="75" t="s">
        <v>24</v>
      </c>
      <c r="F30" s="76">
        <f>'Mode refroidissement'!F39</f>
        <v>3.8</v>
      </c>
      <c r="H30" s="136" t="s">
        <v>32</v>
      </c>
      <c r="I30" s="22">
        <f>D30</f>
        <v>35</v>
      </c>
      <c r="J30" s="75" t="s">
        <v>24</v>
      </c>
      <c r="K30" s="77">
        <f>'Mode refroidissement'!K39</f>
        <v>0.8</v>
      </c>
      <c r="M30" s="26"/>
    </row>
    <row r="31" spans="3:23" s="11" customFormat="1" ht="15.75" customHeight="1" x14ac:dyDescent="0.25">
      <c r="C31" s="137"/>
      <c r="H31" s="137"/>
      <c r="M31" s="26"/>
    </row>
    <row r="32" spans="3:23" s="11" customFormat="1" ht="15.75" customHeight="1" x14ac:dyDescent="0.25">
      <c r="C32" s="138"/>
      <c r="H32" s="138"/>
      <c r="M32" s="26"/>
    </row>
    <row r="33" spans="2:23" s="11" customFormat="1" ht="15.75" customHeight="1" x14ac:dyDescent="0.25"/>
    <row r="34" spans="2:23" s="11" customFormat="1" ht="15.75" customHeight="1" x14ac:dyDescent="0.25">
      <c r="B34" s="19" t="s">
        <v>68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23" s="11" customFormat="1" ht="15.7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23" s="11" customFormat="1" ht="15.75" customHeight="1" x14ac:dyDescent="0.25">
      <c r="D36" s="20" t="s">
        <v>112</v>
      </c>
      <c r="E36" s="28">
        <v>5</v>
      </c>
      <c r="F36" s="29">
        <v>15</v>
      </c>
      <c r="G36" s="29">
        <v>25</v>
      </c>
      <c r="H36" s="29">
        <v>35</v>
      </c>
      <c r="I36" s="30">
        <v>45</v>
      </c>
      <c r="M36" s="117"/>
    </row>
    <row r="37" spans="2:23" s="11" customFormat="1" ht="15.75" customHeight="1" x14ac:dyDescent="0.25">
      <c r="D37" s="20" t="s">
        <v>114</v>
      </c>
      <c r="E37" s="7">
        <v>27</v>
      </c>
      <c r="F37" s="8">
        <v>27</v>
      </c>
      <c r="G37" s="8">
        <v>27</v>
      </c>
      <c r="H37" s="8">
        <v>27</v>
      </c>
      <c r="I37" s="9">
        <v>27</v>
      </c>
      <c r="L37" s="20"/>
      <c r="M37" s="2"/>
      <c r="N37" s="10"/>
      <c r="O37" s="2"/>
      <c r="P37" s="10"/>
      <c r="Q37" s="2"/>
      <c r="R37" s="10"/>
      <c r="S37" s="2"/>
      <c r="T37" s="10"/>
      <c r="U37" s="2"/>
      <c r="V37" s="10"/>
      <c r="W37" s="2"/>
    </row>
    <row r="38" spans="2:23" s="11" customFormat="1" ht="15.75" customHeight="1" x14ac:dyDescent="0.25">
      <c r="D38" s="20" t="s">
        <v>43</v>
      </c>
      <c r="E38" s="14">
        <f>Qsouf*Rho_ref*(273+T_ref)/(273+E36)</f>
        <v>170.74100719424462</v>
      </c>
      <c r="F38" s="13">
        <f>Qsouf*Rho_ref*(273+T_ref)/(273+F36)</f>
        <v>164.8125</v>
      </c>
      <c r="G38" s="13">
        <f>Qsouf*Rho_ref*(273+T_ref)/(273+G36)</f>
        <v>159.28187919463087</v>
      </c>
      <c r="H38" s="13">
        <f>Qsouf*Rho_ref*(273+T_ref)/(273+H36)</f>
        <v>154.1103896103896</v>
      </c>
      <c r="I38" s="15">
        <f>Qsouf*Rho_ref*(273+T_ref)/(273+I36)</f>
        <v>149.26415094339623</v>
      </c>
      <c r="L38" s="20"/>
    </row>
    <row r="39" spans="2:23" s="11" customFormat="1" ht="15.75" customHeight="1" x14ac:dyDescent="0.25">
      <c r="D39" s="20" t="s">
        <v>44</v>
      </c>
      <c r="E39" s="14">
        <f>Qrecycl_souf*Rho_ref*(273+T_ref)/(273+E37)</f>
        <v>117.2</v>
      </c>
      <c r="F39" s="13">
        <f>Qrecycl_souf*Rho_ref*(273+T_ref)/(273+F37)</f>
        <v>117.2</v>
      </c>
      <c r="G39" s="13">
        <f>Qrecycl_souf*Rho_ref*(273+T_ref)/(273+G37)</f>
        <v>117.2</v>
      </c>
      <c r="H39" s="13">
        <f>Qrecycl_souf*Rho_ref*(273+T_ref)/(273+H37)</f>
        <v>117.2</v>
      </c>
      <c r="I39" s="15">
        <f>Qrecycl_souf*Rho_ref*(273+T_ref)/(273+I37)</f>
        <v>117.2</v>
      </c>
    </row>
    <row r="40" spans="2:23" s="11" customFormat="1" ht="15.75" customHeight="1" x14ac:dyDescent="0.25">
      <c r="D40" s="20" t="s">
        <v>45</v>
      </c>
      <c r="E40" s="14">
        <f>Qrep*Rho_ref*(273+T_ref)/(273+E37)</f>
        <v>158.22</v>
      </c>
      <c r="F40" s="13">
        <f>Qrep*Rho_ref*(273+T_ref)/(273+F37)</f>
        <v>158.22</v>
      </c>
      <c r="G40" s="13">
        <f>Qrep*Rho_ref*(273+T_ref)/(273+G37)</f>
        <v>158.22</v>
      </c>
      <c r="H40" s="13">
        <f>Qrep*Rho_ref*(273+T_ref)/(273+H37)</f>
        <v>158.22</v>
      </c>
      <c r="I40" s="15">
        <f>Qrep*Rho_ref*(273+T_ref)/(273+I37)</f>
        <v>158.22</v>
      </c>
    </row>
    <row r="41" spans="2:23" s="11" customFormat="1" ht="15.75" customHeight="1" x14ac:dyDescent="0.25">
      <c r="D41" s="20" t="s">
        <v>46</v>
      </c>
      <c r="E41" s="14">
        <f>Qrecycl_rep*Rho_ref*(273+T_ref)/(273+E36)</f>
        <v>0</v>
      </c>
      <c r="F41" s="13">
        <f>Qrecycl_rep*Rho_ref*(273+T_ref)/(273+F36)</f>
        <v>0</v>
      </c>
      <c r="G41" s="13">
        <f>Qrecycl_rep*Rho_ref*(273+T_ref)/(273+G36)</f>
        <v>0</v>
      </c>
      <c r="H41" s="13">
        <f>Qrecycl_rep*Rho_ref*(273+T_ref)/(273+H36)</f>
        <v>0</v>
      </c>
      <c r="I41" s="15">
        <f>Qrecycl_rep*Rho_ref*(273+T_ref)/(273+I36)</f>
        <v>0</v>
      </c>
    </row>
    <row r="42" spans="2:23" s="11" customFormat="1" ht="15.75" customHeight="1" x14ac:dyDescent="0.25">
      <c r="D42" s="20" t="s">
        <v>101</v>
      </c>
      <c r="E42" s="7">
        <f>(E38*(E36+Eff_ech_fr*(E37-E36))+E39*E37)/(E38+E39)+3600*Wsouf/(Rho_ref*Cp*(E38+E39))</f>
        <v>23.99756952267477</v>
      </c>
      <c r="F42" s="8">
        <f>(F38*(F36+Eff_ech_fr*(F37-F36))+F39*F37)/(F38+F39)+3600*Wsouf/(Rho_ref*Cp*(F38+F39))</f>
        <v>25.511112748181802</v>
      </c>
      <c r="G42" s="8">
        <f>(G38*(G36+Eff_ech_fr*(G37-G36))+G39*G37)/(G38+G39)+3600*Wsouf/(Rho_ref*Cp*(G38+G39))</f>
        <v>26.981596422465312</v>
      </c>
      <c r="H42" s="8">
        <f>(H38*(H36+Eff_ech_fr*(H37-H36))+H39*H37)/(H38+H39)+3600*Wsouf/(Rho_ref*Cp*(H38+H39))</f>
        <v>28.41083230784886</v>
      </c>
      <c r="I42" s="9">
        <f>(I38*(I36+Eff_ech_fr*(I37-I36))+I39*I37)/(I38+I39)+3600*Wsouf/(Rho_ref*Cp*(I38+I39))</f>
        <v>29.800531930842826</v>
      </c>
    </row>
    <row r="43" spans="2:23" s="11" customFormat="1" ht="15.75" customHeight="1" x14ac:dyDescent="0.25">
      <c r="D43" s="20" t="s">
        <v>100</v>
      </c>
      <c r="E43" s="7">
        <f>(E40*(E37-Eff_ech_fr*(E37-E36))+E41*E36)/(E40+E41)+3600*Wrep/(Rho_ref*Cp*(E40+E41))</f>
        <v>10.971196333564786</v>
      </c>
      <c r="F43" s="8">
        <f>(F40*(F37-Eff_ech_fr*(F37-F36))+F41*F36)/(F40+F41)+3600*Wrep/(Rho_ref*Cp*(F40+F41))</f>
        <v>18.471196333564784</v>
      </c>
      <c r="G43" s="8">
        <f>(G40*(G37-Eff_ech_fr*(G37-G36))+G41*G36)/(G40+G41)+3600*Wrep/(Rho_ref*Cp*(G40+G41))</f>
        <v>25.971196333564784</v>
      </c>
      <c r="H43" s="8">
        <f>(H40*(H37-Eff_ech_fr*(H37-H36))+H41*H36)/(H40+H41)+3600*Wrep/(Rho_ref*Cp*(H40+H41))</f>
        <v>33.471196333564784</v>
      </c>
      <c r="I43" s="9">
        <f>(I40*(I37-Eff_ech_fr*(I37-I36))+I41*I36)/(I40+I41)+3600*Wrep/(Rho_ref*Cp*(I40+I41))</f>
        <v>40.971196333564784</v>
      </c>
    </row>
    <row r="44" spans="2:23" s="11" customFormat="1" ht="15.75" customHeight="1" x14ac:dyDescent="0.25">
      <c r="D44" s="20" t="s">
        <v>117</v>
      </c>
      <c r="E44" s="4"/>
      <c r="F44" s="2"/>
      <c r="G44" s="2"/>
      <c r="H44" s="2">
        <f>IF(F30="","",F30)</f>
        <v>3.8</v>
      </c>
      <c r="I44" s="3"/>
    </row>
    <row r="45" spans="2:23" s="11" customFormat="1" ht="15.75" customHeight="1" x14ac:dyDescent="0.25">
      <c r="D45" s="20" t="s">
        <v>171</v>
      </c>
      <c r="E45" s="4"/>
      <c r="F45" s="2"/>
      <c r="G45" s="2"/>
      <c r="H45" s="2">
        <f>IF(K30="","",K30)</f>
        <v>0.8</v>
      </c>
      <c r="I45" s="3"/>
    </row>
    <row r="46" spans="2:23" s="11" customFormat="1" ht="15.75" customHeight="1" x14ac:dyDescent="0.25">
      <c r="D46" s="20" t="s">
        <v>33</v>
      </c>
      <c r="E46" s="4"/>
      <c r="F46" s="2"/>
      <c r="G46" s="2"/>
      <c r="H46" s="2">
        <f>IF(H45="","",H44*H45)</f>
        <v>3.04</v>
      </c>
      <c r="I46" s="3"/>
    </row>
    <row r="47" spans="2:23" s="11" customFormat="1" ht="15.75" customHeight="1" x14ac:dyDescent="0.25">
      <c r="D47" s="20" t="s">
        <v>34</v>
      </c>
      <c r="E47" s="4"/>
      <c r="F47" s="2"/>
      <c r="G47" s="2"/>
      <c r="H47" s="2">
        <f>-1/1000*1/3600*H38*Cp*(Eff_ech_fr*(H37-H36))</f>
        <v>0.25839175324675318</v>
      </c>
      <c r="I47" s="3"/>
    </row>
    <row r="48" spans="2:23" s="11" customFormat="1" ht="15.75" customHeight="1" x14ac:dyDescent="0.25">
      <c r="D48" s="20" t="s">
        <v>87</v>
      </c>
      <c r="E48" s="4"/>
      <c r="F48" s="2"/>
      <c r="G48" s="2"/>
      <c r="H48" s="2">
        <f>IF(H45="","",H46-H47)</f>
        <v>2.781608246753247</v>
      </c>
      <c r="I48" s="3"/>
    </row>
    <row r="49" spans="2:23" s="11" customFormat="1" ht="15.75" customHeight="1" x14ac:dyDescent="0.25">
      <c r="D49" s="20" t="s">
        <v>118</v>
      </c>
      <c r="E49" s="16"/>
      <c r="F49" s="17"/>
      <c r="G49" s="17"/>
      <c r="H49" s="17">
        <f>IF(H45="","",H48/H45)</f>
        <v>3.4770103084415585</v>
      </c>
      <c r="I49" s="18"/>
    </row>
    <row r="50" spans="2:23" s="11" customFormat="1" ht="15.75" customHeight="1" x14ac:dyDescent="0.25">
      <c r="D50" s="20"/>
      <c r="E50" s="2"/>
      <c r="F50" s="2"/>
      <c r="G50" s="2"/>
      <c r="H50" s="2"/>
      <c r="I50" s="2"/>
    </row>
    <row r="51" spans="2:23" s="11" customFormat="1" ht="15.75" customHeight="1" x14ac:dyDescent="0.25">
      <c r="B51" s="19" t="s">
        <v>56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23" s="11" customFormat="1" ht="15.75" customHeight="1" x14ac:dyDescent="0.25">
      <c r="B52" s="6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23" s="11" customFormat="1" ht="18.75" customHeight="1" x14ac:dyDescent="0.25">
      <c r="C53" s="31" t="s">
        <v>74</v>
      </c>
      <c r="D53" s="26"/>
      <c r="E53" s="26"/>
      <c r="F53" s="145" t="s">
        <v>0</v>
      </c>
      <c r="G53" s="146"/>
      <c r="H53" s="146"/>
      <c r="I53" s="146"/>
      <c r="J53" s="147"/>
      <c r="L53" s="32"/>
      <c r="N53" s="31" t="s">
        <v>17</v>
      </c>
      <c r="O53" s="26"/>
      <c r="P53" s="26"/>
      <c r="Q53" s="145" t="s">
        <v>0</v>
      </c>
      <c r="R53" s="146"/>
      <c r="S53" s="146"/>
      <c r="T53" s="146"/>
      <c r="U53" s="147"/>
    </row>
    <row r="54" spans="2:23" s="11" customFormat="1" ht="18.75" customHeight="1" x14ac:dyDescent="0.25">
      <c r="C54" s="31"/>
      <c r="D54" s="26"/>
      <c r="E54" s="26" t="s">
        <v>116</v>
      </c>
      <c r="F54" s="58">
        <f>E37</f>
        <v>27</v>
      </c>
      <c r="G54" s="58">
        <f>F37</f>
        <v>27</v>
      </c>
      <c r="H54" s="58">
        <f>G37</f>
        <v>27</v>
      </c>
      <c r="I54" s="58">
        <f>H37</f>
        <v>27</v>
      </c>
      <c r="J54" s="58">
        <f>I37</f>
        <v>27</v>
      </c>
      <c r="L54" s="32"/>
      <c r="N54" s="33" t="s">
        <v>3</v>
      </c>
      <c r="O54" s="26"/>
      <c r="P54" s="26" t="s">
        <v>116</v>
      </c>
      <c r="Q54" s="58">
        <f t="shared" ref="Q54:U55" si="0">F54</f>
        <v>27</v>
      </c>
      <c r="R54" s="58">
        <f t="shared" si="0"/>
        <v>27</v>
      </c>
      <c r="S54" s="58">
        <f t="shared" si="0"/>
        <v>27</v>
      </c>
      <c r="T54" s="58">
        <f t="shared" si="0"/>
        <v>27</v>
      </c>
      <c r="U54" s="58">
        <f t="shared" si="0"/>
        <v>27</v>
      </c>
    </row>
    <row r="55" spans="2:23" s="11" customFormat="1" ht="18.75" customHeight="1" x14ac:dyDescent="0.25">
      <c r="C55" s="33" t="s">
        <v>4</v>
      </c>
      <c r="D55" s="26"/>
      <c r="E55" s="26" t="s">
        <v>108</v>
      </c>
      <c r="F55" s="27">
        <f>E43</f>
        <v>10.971196333564786</v>
      </c>
      <c r="G55" s="27">
        <f>F43</f>
        <v>18.471196333564784</v>
      </c>
      <c r="H55" s="27">
        <f>G43</f>
        <v>25.971196333564784</v>
      </c>
      <c r="I55" s="27">
        <f>H43</f>
        <v>33.471196333564784</v>
      </c>
      <c r="J55" s="27">
        <f>I43</f>
        <v>40.971196333564784</v>
      </c>
      <c r="L55" s="19"/>
      <c r="O55" s="26"/>
      <c r="P55" s="26" t="s">
        <v>108</v>
      </c>
      <c r="Q55" s="27">
        <f t="shared" si="0"/>
        <v>10.971196333564786</v>
      </c>
      <c r="R55" s="27">
        <f t="shared" si="0"/>
        <v>18.471196333564784</v>
      </c>
      <c r="S55" s="27">
        <f t="shared" si="0"/>
        <v>25.971196333564784</v>
      </c>
      <c r="T55" s="27">
        <f t="shared" si="0"/>
        <v>33.471196333564784</v>
      </c>
      <c r="U55" s="27">
        <f t="shared" si="0"/>
        <v>40.971196333564784</v>
      </c>
      <c r="V55" s="32"/>
      <c r="W55" s="19"/>
    </row>
    <row r="56" spans="2:23" s="11" customFormat="1" ht="18.75" customHeight="1" x14ac:dyDescent="0.25">
      <c r="C56" s="26" t="s">
        <v>110</v>
      </c>
      <c r="D56" s="26" t="s">
        <v>109</v>
      </c>
      <c r="E56" s="22" t="s">
        <v>1</v>
      </c>
      <c r="F56" s="95"/>
      <c r="G56" s="95"/>
      <c r="H56" s="95"/>
      <c r="I56" s="95"/>
      <c r="J56" s="95"/>
      <c r="K56" s="78" t="s">
        <v>65</v>
      </c>
      <c r="N56" s="26" t="s">
        <v>110</v>
      </c>
      <c r="O56" s="26" t="s">
        <v>109</v>
      </c>
      <c r="P56" s="22" t="s">
        <v>1</v>
      </c>
      <c r="Q56" s="95"/>
      <c r="R56" s="95"/>
      <c r="S56" s="95"/>
      <c r="T56" s="95"/>
      <c r="U56" s="95"/>
      <c r="V56" s="11" t="s">
        <v>19</v>
      </c>
    </row>
    <row r="57" spans="2:23" s="11" customFormat="1" ht="18.75" customHeight="1" x14ac:dyDescent="0.25">
      <c r="B57" s="136" t="s">
        <v>18</v>
      </c>
      <c r="C57" s="59">
        <f>E36</f>
        <v>5</v>
      </c>
      <c r="D57" s="27">
        <f>E42</f>
        <v>23.99756952267477</v>
      </c>
      <c r="E57" s="95"/>
      <c r="F57" s="6">
        <f>G57/G62*F62</f>
        <v>4.7678943819974817</v>
      </c>
      <c r="G57" s="6">
        <f>H57/H62*G62</f>
        <v>4.2737242351830576</v>
      </c>
      <c r="H57" s="6">
        <f>$I57*H$62</f>
        <v>3.7795540883686334</v>
      </c>
      <c r="I57" s="6">
        <f>$I$60*K57</f>
        <v>3.2853839415542092</v>
      </c>
      <c r="J57" s="5">
        <f>$I57*J$62</f>
        <v>2.791213794739785</v>
      </c>
      <c r="K57" s="10">
        <f>L57/$L$60</f>
        <v>0.94488760461189469</v>
      </c>
      <c r="L57" s="96">
        <f>0.012*D57+0.62</f>
        <v>0.90797083427209724</v>
      </c>
      <c r="M57" s="159" t="s">
        <v>18</v>
      </c>
      <c r="N57" s="97">
        <f t="shared" ref="N57:O61" si="1">C57</f>
        <v>5</v>
      </c>
      <c r="O57" s="98">
        <f t="shared" si="1"/>
        <v>23.99756952267477</v>
      </c>
      <c r="P57" s="5"/>
      <c r="Q57" s="6">
        <f>R57/R62*Q62</f>
        <v>0.93775755972130637</v>
      </c>
      <c r="R57" s="6">
        <f>R62/S62*S57</f>
        <v>0.8771417343773763</v>
      </c>
      <c r="S57" s="6">
        <f>$T57*S$62</f>
        <v>0.81652590903344602</v>
      </c>
      <c r="T57" s="6">
        <f>V57*$T$60</f>
        <v>0.75591008368951584</v>
      </c>
      <c r="U57" s="5">
        <f>$T57*U$62</f>
        <v>0.69529425834558567</v>
      </c>
      <c r="V57" s="10">
        <f>W57/$W$60</f>
        <v>0.94488760461189469</v>
      </c>
      <c r="W57" s="44">
        <f>0.012*O57+0.62</f>
        <v>0.90797083427209724</v>
      </c>
    </row>
    <row r="58" spans="2:23" s="11" customFormat="1" ht="18.75" customHeight="1" x14ac:dyDescent="0.25">
      <c r="B58" s="137"/>
      <c r="C58" s="59">
        <f>F36</f>
        <v>15</v>
      </c>
      <c r="D58" s="27">
        <f>F42</f>
        <v>25.511112748181802</v>
      </c>
      <c r="E58" s="95"/>
      <c r="F58" s="6">
        <f>G58/G62*F62</f>
        <v>4.863268558824525</v>
      </c>
      <c r="G58" s="6">
        <f>H58/H62*G62</f>
        <v>4.3592133207750932</v>
      </c>
      <c r="H58" s="6">
        <f>$I58*H$62</f>
        <v>3.8551580827256613</v>
      </c>
      <c r="I58" s="6">
        <f>$I$60*K58</f>
        <v>3.3511028446762294</v>
      </c>
      <c r="J58" s="5">
        <f>$I58*J$62</f>
        <v>2.8470476066267976</v>
      </c>
      <c r="K58" s="10">
        <f>L58/$L$60</f>
        <v>0.96378858484841179</v>
      </c>
      <c r="L58" s="96">
        <f>0.012*D58+0.62</f>
        <v>0.92613335297818167</v>
      </c>
      <c r="M58" s="160"/>
      <c r="N58" s="97">
        <f t="shared" si="1"/>
        <v>15</v>
      </c>
      <c r="O58" s="98">
        <f t="shared" si="1"/>
        <v>25.511112748181802</v>
      </c>
      <c r="P58" s="5"/>
      <c r="Q58" s="6">
        <f>R58/R62*Q62</f>
        <v>0.95651591470069786</v>
      </c>
      <c r="R58" s="6">
        <f>R62/S62*S58</f>
        <v>0.89468756576004171</v>
      </c>
      <c r="S58" s="6">
        <f>$T58*S$62</f>
        <v>0.83285921681938546</v>
      </c>
      <c r="T58" s="6">
        <f>V58*$T$60</f>
        <v>0.77103086787872943</v>
      </c>
      <c r="U58" s="5">
        <f>$T58*U$62</f>
        <v>0.7092025189380734</v>
      </c>
      <c r="V58" s="10">
        <f>W58/$W$60</f>
        <v>0.96378858484841179</v>
      </c>
      <c r="W58" s="44">
        <f>0.012*O58+0.62</f>
        <v>0.92613335297818167</v>
      </c>
    </row>
    <row r="59" spans="2:23" s="11" customFormat="1" ht="18.75" customHeight="1" x14ac:dyDescent="0.25">
      <c r="B59" s="137"/>
      <c r="C59" s="59">
        <v>25</v>
      </c>
      <c r="D59" s="27">
        <f>G42</f>
        <v>26.981596422465312</v>
      </c>
      <c r="E59" s="95"/>
      <c r="F59" s="6">
        <f>H59/H62*F62</f>
        <v>4.9559293878044244</v>
      </c>
      <c r="G59" s="6">
        <f>H59/H62*G62</f>
        <v>4.4422702844441675</v>
      </c>
      <c r="H59" s="6">
        <f>$I59*H$62</f>
        <v>3.9286111810839111</v>
      </c>
      <c r="I59" s="6">
        <f>$I$60*K59</f>
        <v>3.4149520777236542</v>
      </c>
      <c r="J59" s="5">
        <f>$I59*J$62</f>
        <v>2.9012929743633973</v>
      </c>
      <c r="K59" s="10">
        <f>L59/$L$60</f>
        <v>0.9821518416073608</v>
      </c>
      <c r="L59" s="96">
        <f>0.012*D59+0.62</f>
        <v>0.94377915706958371</v>
      </c>
      <c r="M59" s="160"/>
      <c r="N59" s="97">
        <f t="shared" si="1"/>
        <v>25</v>
      </c>
      <c r="O59" s="98">
        <f t="shared" si="1"/>
        <v>26.981596422465312</v>
      </c>
      <c r="P59" s="5"/>
      <c r="Q59" s="6">
        <f>S59/S62*Q62</f>
        <v>0.97474060382007832</v>
      </c>
      <c r="R59" s="6">
        <f>S59/S62*R62</f>
        <v>0.91173422697534845</v>
      </c>
      <c r="S59" s="6">
        <f>$T59*S$62</f>
        <v>0.84872785013061847</v>
      </c>
      <c r="T59" s="6">
        <f>V59*$T$60</f>
        <v>0.78572147328588871</v>
      </c>
      <c r="U59" s="5">
        <f>$T59*U$62</f>
        <v>0.72271509644115894</v>
      </c>
      <c r="V59" s="10">
        <f>W59/$W$60</f>
        <v>0.9821518416073608</v>
      </c>
      <c r="W59" s="44">
        <f>0.012*O59+0.62</f>
        <v>0.94377915706958371</v>
      </c>
    </row>
    <row r="60" spans="2:23" s="11" customFormat="1" ht="18.75" customHeight="1" x14ac:dyDescent="0.25">
      <c r="B60" s="137"/>
      <c r="C60" s="59">
        <f>H36</f>
        <v>35</v>
      </c>
      <c r="D60" s="27">
        <f>H42</f>
        <v>28.41083230784886</v>
      </c>
      <c r="E60" s="95"/>
      <c r="F60" s="6">
        <f t="shared" ref="F60:H61" si="2">$I60*F$62</f>
        <v>5.0459910350457591</v>
      </c>
      <c r="G60" s="6">
        <f t="shared" si="2"/>
        <v>4.5229974595110258</v>
      </c>
      <c r="H60" s="6">
        <f t="shared" si="2"/>
        <v>4.0000038839762917</v>
      </c>
      <c r="I60" s="6">
        <f>H49</f>
        <v>3.4770103084415585</v>
      </c>
      <c r="J60" s="5">
        <f>$I60*J$62</f>
        <v>2.9540167329068248</v>
      </c>
      <c r="K60" s="10">
        <f>L60/$L$60</f>
        <v>1</v>
      </c>
      <c r="L60" s="96">
        <f>0.012*D60+0.62</f>
        <v>0.96092998769418636</v>
      </c>
      <c r="M60" s="160"/>
      <c r="N60" s="97">
        <f t="shared" si="1"/>
        <v>35</v>
      </c>
      <c r="O60" s="98">
        <f t="shared" si="1"/>
        <v>28.41083230784886</v>
      </c>
      <c r="P60" s="5"/>
      <c r="Q60" s="6">
        <f t="shared" ref="Q60:S61" si="3">$T60*Q$62</f>
        <v>0.99245408146345937</v>
      </c>
      <c r="R60" s="6">
        <f t="shared" si="3"/>
        <v>0.92830272097563959</v>
      </c>
      <c r="S60" s="6">
        <f t="shared" si="3"/>
        <v>0.86415136048781971</v>
      </c>
      <c r="T60" s="6">
        <f>H45</f>
        <v>0.8</v>
      </c>
      <c r="U60" s="5">
        <f>$T60*U$62</f>
        <v>0.73584863951218038</v>
      </c>
      <c r="V60" s="10">
        <f>W60/$W$60</f>
        <v>1</v>
      </c>
      <c r="W60" s="44">
        <f>0.012*O60+0.62</f>
        <v>0.96092998769418636</v>
      </c>
    </row>
    <row r="61" spans="2:23" s="11" customFormat="1" ht="18.75" customHeight="1" x14ac:dyDescent="0.25">
      <c r="B61" s="138"/>
      <c r="C61" s="59">
        <f>I36</f>
        <v>45</v>
      </c>
      <c r="D61" s="27">
        <f>I42</f>
        <v>29.800531930842826</v>
      </c>
      <c r="E61" s="95"/>
      <c r="F61" s="6">
        <f t="shared" si="2"/>
        <v>5.1335613504131974</v>
      </c>
      <c r="G61" s="6">
        <f t="shared" si="2"/>
        <v>4.6014915177018976</v>
      </c>
      <c r="H61" s="6">
        <f t="shared" si="2"/>
        <v>4.0694216849905986</v>
      </c>
      <c r="I61" s="5">
        <f>$I$60*K61</f>
        <v>3.5373518522792993</v>
      </c>
      <c r="J61" s="5">
        <f>$I61*J$62</f>
        <v>3.0052820195679999</v>
      </c>
      <c r="K61" s="10">
        <f>L61/$L$60</f>
        <v>1.0173544334025246</v>
      </c>
      <c r="L61" s="96">
        <f>0.012*D61+0.62</f>
        <v>0.97760638317011384</v>
      </c>
      <c r="M61" s="161"/>
      <c r="N61" s="97">
        <f t="shared" si="1"/>
        <v>45</v>
      </c>
      <c r="O61" s="98">
        <f t="shared" si="1"/>
        <v>29.800531930842826</v>
      </c>
      <c r="P61" s="5"/>
      <c r="Q61" s="6">
        <f t="shared" si="3"/>
        <v>1.0096775597252807</v>
      </c>
      <c r="R61" s="6">
        <f t="shared" si="3"/>
        <v>0.94441288872419382</v>
      </c>
      <c r="S61" s="6">
        <f t="shared" si="3"/>
        <v>0.8791482177231067</v>
      </c>
      <c r="T61" s="5">
        <f>V61*$T$60</f>
        <v>0.81388354672201979</v>
      </c>
      <c r="U61" s="5">
        <f>$T61*U$62</f>
        <v>0.74861887572093289</v>
      </c>
      <c r="V61" s="10">
        <f>W61/$W$60</f>
        <v>1.0173544334025246</v>
      </c>
      <c r="W61" s="44">
        <f>0.012*O61+0.62</f>
        <v>0.97760638317011384</v>
      </c>
    </row>
    <row r="62" spans="2:23" s="11" customFormat="1" ht="18.75" customHeight="1" x14ac:dyDescent="0.25">
      <c r="E62" s="11" t="s">
        <v>66</v>
      </c>
      <c r="F62" s="44">
        <f>F63/$I$63</f>
        <v>1.4512441975783035</v>
      </c>
      <c r="G62" s="44">
        <f>G63/$I$63</f>
        <v>1.3008294650522023</v>
      </c>
      <c r="H62" s="44">
        <f>H63/$I$63</f>
        <v>1.1504147325261012</v>
      </c>
      <c r="I62" s="44">
        <f>I63/$I$63</f>
        <v>1</v>
      </c>
      <c r="J62" s="44">
        <f>J63/$I$63</f>
        <v>0.84958526747389884</v>
      </c>
      <c r="K62" s="44"/>
      <c r="L62" s="44"/>
      <c r="M62" s="44"/>
      <c r="N62" s="44"/>
      <c r="O62" s="44"/>
      <c r="P62" s="44" t="s">
        <v>75</v>
      </c>
      <c r="Q62" s="44">
        <f>Q63/$T$63</f>
        <v>1.2405676018293241</v>
      </c>
      <c r="R62" s="44">
        <f>R63/$T$63</f>
        <v>1.1603784012195495</v>
      </c>
      <c r="S62" s="44">
        <f>S63/$T$63</f>
        <v>1.0801892006097746</v>
      </c>
      <c r="T62" s="44">
        <f>T63/$T$63</f>
        <v>1</v>
      </c>
      <c r="U62" s="44">
        <f>U63/$T$63</f>
        <v>0.91981079939022536</v>
      </c>
      <c r="V62" s="44"/>
      <c r="W62" s="44"/>
    </row>
    <row r="63" spans="2:23" s="11" customFormat="1" ht="15" customHeight="1" x14ac:dyDescent="0.25">
      <c r="F63" s="1">
        <f>-0.018*F55+1.5</f>
        <v>1.302518465995834</v>
      </c>
      <c r="G63" s="1">
        <f>-0.018*G55+1.5</f>
        <v>1.167518465995834</v>
      </c>
      <c r="H63" s="1">
        <f>-0.018*H55+1.5</f>
        <v>1.032518465995834</v>
      </c>
      <c r="I63" s="1">
        <f>-0.018*I55+1.5</f>
        <v>0.89751846599583396</v>
      </c>
      <c r="J63" s="1">
        <f>-0.018*J55+1.5</f>
        <v>0.76251846599583395</v>
      </c>
      <c r="K63" s="44"/>
      <c r="L63" s="44"/>
      <c r="M63" s="44"/>
      <c r="N63" s="44"/>
      <c r="O63" s="44"/>
      <c r="P63" s="44"/>
      <c r="Q63" s="1">
        <f>-0.01*Q55+1.27</f>
        <v>1.1602880366643522</v>
      </c>
      <c r="R63" s="1">
        <f>-0.01*R55+1.27</f>
        <v>1.0852880366643523</v>
      </c>
      <c r="S63" s="1">
        <f>-0.01*S55+1.27</f>
        <v>1.0102880366643521</v>
      </c>
      <c r="T63" s="1">
        <f>-0.01*T55+1.27</f>
        <v>0.93528803666435212</v>
      </c>
      <c r="U63" s="1">
        <f>-0.01*U55+1.27</f>
        <v>0.86028803666435216</v>
      </c>
      <c r="V63" s="44"/>
      <c r="W63" s="44"/>
    </row>
    <row r="64" spans="2:23" s="11" customFormat="1" ht="15" customHeight="1" x14ac:dyDescent="0.25">
      <c r="D64" s="12">
        <v>1</v>
      </c>
      <c r="E64" s="34">
        <v>2</v>
      </c>
      <c r="F64" s="12">
        <v>3</v>
      </c>
      <c r="G64" s="12">
        <v>4</v>
      </c>
      <c r="H64" s="12">
        <v>5</v>
      </c>
      <c r="I64" s="12">
        <v>6</v>
      </c>
      <c r="J64" s="12">
        <v>7</v>
      </c>
      <c r="O64" s="12">
        <v>1</v>
      </c>
      <c r="P64" s="34">
        <v>2</v>
      </c>
      <c r="Q64" s="12">
        <v>3</v>
      </c>
      <c r="R64" s="12">
        <v>4</v>
      </c>
      <c r="S64" s="12">
        <v>5</v>
      </c>
      <c r="T64" s="12">
        <v>6</v>
      </c>
      <c r="U64" s="12">
        <v>7</v>
      </c>
    </row>
    <row r="65" spans="2:20" s="11" customFormat="1" ht="15" customHeight="1" x14ac:dyDescent="0.25">
      <c r="B65" s="19" t="s">
        <v>119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20" s="11" customFormat="1" ht="15" customHeight="1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20" s="11" customFormat="1" ht="15" customHeight="1" x14ac:dyDescent="0.25">
      <c r="C67" s="26" t="s">
        <v>120</v>
      </c>
      <c r="D67" s="26" t="s">
        <v>121</v>
      </c>
      <c r="E67" s="26" t="s">
        <v>122</v>
      </c>
      <c r="F67" s="26" t="s">
        <v>123</v>
      </c>
      <c r="G67" s="26" t="s">
        <v>105</v>
      </c>
      <c r="H67" s="26" t="s">
        <v>106</v>
      </c>
      <c r="I67" s="26" t="s">
        <v>69</v>
      </c>
      <c r="J67" s="26" t="s">
        <v>70</v>
      </c>
      <c r="K67" s="26" t="s">
        <v>71</v>
      </c>
      <c r="L67" s="26" t="s">
        <v>72</v>
      </c>
      <c r="M67" s="26" t="s">
        <v>11</v>
      </c>
      <c r="N67" s="26" t="s">
        <v>12</v>
      </c>
      <c r="O67" s="26" t="s">
        <v>13</v>
      </c>
      <c r="P67" s="26" t="s">
        <v>14</v>
      </c>
      <c r="Q67" s="1" t="s">
        <v>5</v>
      </c>
      <c r="R67" s="1" t="s">
        <v>15</v>
      </c>
      <c r="S67" s="26" t="s">
        <v>73</v>
      </c>
      <c r="T67" s="26" t="s">
        <v>2</v>
      </c>
    </row>
    <row r="68" spans="2:20" s="11" customFormat="1" ht="15" customHeight="1" x14ac:dyDescent="0.25">
      <c r="C68" s="35">
        <f>C60</f>
        <v>35</v>
      </c>
      <c r="D68" s="35">
        <f>$G$91</f>
        <v>27</v>
      </c>
      <c r="E68" s="1">
        <f t="shared" ref="E68:E87" si="4">IF(C68&lt;$D$58,$D$57,IF(C68&lt;$D$59,$D$58,IF(C68&lt;$D$60,$D$59,$D$60)))</f>
        <v>28.41083230784886</v>
      </c>
      <c r="F68" s="1">
        <f>IF(C68&lt;$D$58,$D$58,IF(C68&lt;$D$59,$D$59,IF(C68&lt;$D$60,$D$60,$D$61)))</f>
        <v>29.800531930842826</v>
      </c>
      <c r="G68" s="1">
        <f t="shared" ref="G68:G87" si="5">IF(D68&lt;$G$55,$F$55,IF(D68&lt;$H$55,$G$55,IF(D68&lt;$I$55,$H$55,$I$55)))</f>
        <v>25.971196333564784</v>
      </c>
      <c r="H68" s="1">
        <f t="shared" ref="H68:H87" si="6">IF(D68&lt;$G$55,$G$55,IF(D68&lt;$H$55,$H$55,IF(D68&lt;$I$55,$I$55,$J$55)))</f>
        <v>33.471196333564784</v>
      </c>
      <c r="I68" s="1">
        <f t="shared" ref="I68:I87" si="7">VLOOKUP(E68,$D$57:$J$61,HLOOKUP(G68,$F$55:$J$64,10,FALSE),FALSE)</f>
        <v>4.0000038839762917</v>
      </c>
      <c r="J68" s="1">
        <f t="shared" ref="J68:J87" si="8">VLOOKUP(E68,$D$57:$J$61,HLOOKUP(H68,$F$55:$J$64,10,FALSE),FALSE)</f>
        <v>3.4770103084415585</v>
      </c>
      <c r="K68" s="1">
        <f t="shared" ref="K68:K87" si="9">VLOOKUP(F68,$D$57:$J$61,HLOOKUP(G68,$F$55:$J$64,10,FALSE),FALSE)</f>
        <v>4.0694216849905986</v>
      </c>
      <c r="L68" s="1">
        <f t="shared" ref="L68:L87" si="10">VLOOKUP(F68,$D$57:$J$61,HLOOKUP(H68,$F$55:$J$64,10,FALSE),FALSE)</f>
        <v>3.5373518522792993</v>
      </c>
      <c r="M68" s="1">
        <f t="shared" ref="M68:M87" si="11">VLOOKUP(E68,$O$57:$U$61,HLOOKUP(G68,$Q$55:$U$64,10,FALSE),FALSE)</f>
        <v>0.86415136048781971</v>
      </c>
      <c r="N68" s="1">
        <f t="shared" ref="N68:N87" si="12">VLOOKUP(E68,$O$57:$U$61,HLOOKUP(H68,$Q$55:$U$64,10,FALSE),FALSE)</f>
        <v>0.8</v>
      </c>
      <c r="O68" s="1">
        <f t="shared" ref="O68:O87" si="13">VLOOKUP(F68,$O$57:$U$61,HLOOKUP(G68,$Q$55:$U$64,10,FALSE),FALSE)</f>
        <v>0.8791482177231067</v>
      </c>
      <c r="P68" s="1">
        <f t="shared" ref="P68:P87" si="14">VLOOKUP(F68,$O$57:$U$61,HLOOKUP(H68,$Q$55:$U$64,10,FALSE),FALSE)</f>
        <v>0.81388354672201979</v>
      </c>
      <c r="Q68" s="1">
        <f>IF(E68=F68,1,(C68-E68)/(F68-E68))</f>
        <v>4.7414330284953596</v>
      </c>
      <c r="R68" s="1">
        <f>IF(G68=H68,1,(D68-G68)/(H68-G68))</f>
        <v>0.13717382219136218</v>
      </c>
      <c r="S68" s="1">
        <f t="shared" ref="S68:S87" si="15">(1-Q68)*(1-R68)*I68+(1-Q68)*R68*J68+Q68*(1-R68)*K68+Q68*R68*L68</f>
        <v>4.2514995086076759</v>
      </c>
      <c r="T68" s="10">
        <f>(1-Q68)*(1-R68)*M68+(1-Q68)*R68*N68+Q68*(1-R68)*O68+Q68*R68*P68</f>
        <v>0.92573396968528077</v>
      </c>
    </row>
    <row r="69" spans="2:20" s="11" customFormat="1" ht="15" customHeight="1" x14ac:dyDescent="0.25">
      <c r="C69" s="35">
        <f>C61</f>
        <v>45</v>
      </c>
      <c r="D69" s="35">
        <f>$G$91</f>
        <v>27</v>
      </c>
      <c r="E69" s="1">
        <f>IF(C69&lt;$D$58,$D$57,IF(C69&lt;$D$59,$D$58,IF(C69&lt;$D$60,$D$59,$D$60)))</f>
        <v>28.41083230784886</v>
      </c>
      <c r="F69" s="1">
        <f>IF(C69&lt;$D$58,$D$58,IF(C69&lt;$D$59,$D$59,IF(C69&lt;$D$60,$D$60,$D$61)))</f>
        <v>29.800531930842826</v>
      </c>
      <c r="G69" s="1">
        <f t="shared" si="5"/>
        <v>25.971196333564784</v>
      </c>
      <c r="H69" s="1">
        <f t="shared" si="6"/>
        <v>33.471196333564784</v>
      </c>
      <c r="I69" s="1">
        <f t="shared" si="7"/>
        <v>4.0000038839762917</v>
      </c>
      <c r="J69" s="1">
        <f t="shared" si="8"/>
        <v>3.4770103084415585</v>
      </c>
      <c r="K69" s="1">
        <f t="shared" si="9"/>
        <v>4.0694216849905986</v>
      </c>
      <c r="L69" s="1">
        <f t="shared" si="10"/>
        <v>3.5373518522792993</v>
      </c>
      <c r="M69" s="1">
        <f t="shared" si="11"/>
        <v>0.86415136048781971</v>
      </c>
      <c r="N69" s="1">
        <f t="shared" si="12"/>
        <v>0.8</v>
      </c>
      <c r="O69" s="1">
        <f t="shared" si="13"/>
        <v>0.8791482177231067</v>
      </c>
      <c r="P69" s="1">
        <f t="shared" si="14"/>
        <v>0.81388354672201979</v>
      </c>
      <c r="Q69" s="1">
        <f t="shared" ref="Q69:Q87" si="16">IF(E69=F69,1,(C69-E69)/(F69-E69))</f>
        <v>11.937232634784394</v>
      </c>
      <c r="R69" s="1">
        <f t="shared" ref="R69:R87" si="17">IF(G69=H69,1,(D69-G69)/(H69-G69))</f>
        <v>0.13717382219136218</v>
      </c>
      <c r="S69" s="1">
        <f t="shared" si="15"/>
        <v>4.7420571442162567</v>
      </c>
      <c r="T69" s="10">
        <f t="shared" ref="T69:T87" si="18">(1-Q69)*(1-R69)*M69+(1-Q69)*R69*N69+Q69*(1-R69)*O69+Q69*R69*P69</f>
        <v>1.0325494277258915</v>
      </c>
    </row>
    <row r="70" spans="2:20" s="11" customFormat="1" ht="15" customHeight="1" x14ac:dyDescent="0.25">
      <c r="C70" s="35">
        <f>C59</f>
        <v>25</v>
      </c>
      <c r="D70" s="35">
        <f>$G$91</f>
        <v>27</v>
      </c>
      <c r="E70" s="1">
        <f t="shared" si="4"/>
        <v>23.99756952267477</v>
      </c>
      <c r="F70" s="1">
        <f t="shared" ref="F70:F87" si="19">IF(C70&lt;$D$58,$D$58,IF(C70&lt;$D$59,$D$59,IF(C70&lt;$D$60,$D$60,$D$61)))</f>
        <v>25.511112748181802</v>
      </c>
      <c r="G70" s="1">
        <f t="shared" si="5"/>
        <v>25.971196333564784</v>
      </c>
      <c r="H70" s="1">
        <f t="shared" si="6"/>
        <v>33.471196333564784</v>
      </c>
      <c r="I70" s="1">
        <f t="shared" si="7"/>
        <v>3.7795540883686334</v>
      </c>
      <c r="J70" s="1">
        <f t="shared" si="8"/>
        <v>3.2853839415542092</v>
      </c>
      <c r="K70" s="1">
        <f t="shared" si="9"/>
        <v>3.8551580827256613</v>
      </c>
      <c r="L70" s="1">
        <f t="shared" si="10"/>
        <v>3.3511028446762294</v>
      </c>
      <c r="M70" s="1">
        <f t="shared" si="11"/>
        <v>0.81652590903344602</v>
      </c>
      <c r="N70" s="1">
        <f t="shared" si="12"/>
        <v>0.75591008368951584</v>
      </c>
      <c r="O70" s="1">
        <f t="shared" si="13"/>
        <v>0.83285921681938546</v>
      </c>
      <c r="P70" s="1">
        <f t="shared" si="14"/>
        <v>0.77103086787872943</v>
      </c>
      <c r="Q70" s="1">
        <f t="shared" si="16"/>
        <v>0.66230713496102467</v>
      </c>
      <c r="R70" s="1">
        <f t="shared" si="17"/>
        <v>0.13717382219136218</v>
      </c>
      <c r="S70" s="1">
        <f t="shared" si="15"/>
        <v>3.7609418729990964</v>
      </c>
      <c r="T70" s="10">
        <f t="shared" si="18"/>
        <v>0.81891851164467111</v>
      </c>
    </row>
    <row r="71" spans="2:20" s="11" customFormat="1" ht="15" customHeight="1" x14ac:dyDescent="0.25">
      <c r="C71" s="35">
        <f>C58</f>
        <v>15</v>
      </c>
      <c r="D71" s="35">
        <f>$G$91</f>
        <v>27</v>
      </c>
      <c r="E71" s="1">
        <f t="shared" si="4"/>
        <v>23.99756952267477</v>
      </c>
      <c r="F71" s="1">
        <f t="shared" si="19"/>
        <v>25.511112748181802</v>
      </c>
      <c r="G71" s="1">
        <f t="shared" si="5"/>
        <v>25.971196333564784</v>
      </c>
      <c r="H71" s="1">
        <f t="shared" si="6"/>
        <v>33.471196333564784</v>
      </c>
      <c r="I71" s="1">
        <f t="shared" si="7"/>
        <v>3.7795540883686334</v>
      </c>
      <c r="J71" s="1">
        <f t="shared" si="8"/>
        <v>3.2853839415542092</v>
      </c>
      <c r="K71" s="1">
        <f t="shared" si="9"/>
        <v>3.8551580827256613</v>
      </c>
      <c r="L71" s="1">
        <f t="shared" si="10"/>
        <v>3.3511028446762294</v>
      </c>
      <c r="M71" s="1">
        <f t="shared" si="11"/>
        <v>0.81652590903344602</v>
      </c>
      <c r="N71" s="1">
        <f t="shared" si="12"/>
        <v>0.75591008368951584</v>
      </c>
      <c r="O71" s="1">
        <f t="shared" si="13"/>
        <v>0.83285921681938546</v>
      </c>
      <c r="P71" s="1">
        <f t="shared" si="14"/>
        <v>0.77103086787872943</v>
      </c>
      <c r="Q71" s="1">
        <f t="shared" si="16"/>
        <v>-5.9447060189910426</v>
      </c>
      <c r="R71" s="1">
        <f t="shared" si="17"/>
        <v>0.13717382219136218</v>
      </c>
      <c r="S71" s="1">
        <f t="shared" si="15"/>
        <v>3.2703842373905152</v>
      </c>
      <c r="T71" s="10">
        <f t="shared" si="18"/>
        <v>0.71210305360406367</v>
      </c>
    </row>
    <row r="72" spans="2:20" s="11" customFormat="1" ht="13.5" customHeight="1" x14ac:dyDescent="0.25">
      <c r="C72" s="35">
        <f>C57</f>
        <v>5</v>
      </c>
      <c r="D72" s="35">
        <f>$G$91</f>
        <v>27</v>
      </c>
      <c r="E72" s="1">
        <f t="shared" si="4"/>
        <v>23.99756952267477</v>
      </c>
      <c r="F72" s="1">
        <f t="shared" si="19"/>
        <v>25.511112748181802</v>
      </c>
      <c r="G72" s="1">
        <f t="shared" si="5"/>
        <v>25.971196333564784</v>
      </c>
      <c r="H72" s="1">
        <f t="shared" si="6"/>
        <v>33.471196333564784</v>
      </c>
      <c r="I72" s="1">
        <f t="shared" si="7"/>
        <v>3.7795540883686334</v>
      </c>
      <c r="J72" s="1">
        <f t="shared" si="8"/>
        <v>3.2853839415542092</v>
      </c>
      <c r="K72" s="1">
        <f t="shared" si="9"/>
        <v>3.8551580827256613</v>
      </c>
      <c r="L72" s="1">
        <f t="shared" si="10"/>
        <v>3.3511028446762294</v>
      </c>
      <c r="M72" s="1">
        <f t="shared" si="11"/>
        <v>0.81652590903344602</v>
      </c>
      <c r="N72" s="1">
        <f t="shared" si="12"/>
        <v>0.75591008368951584</v>
      </c>
      <c r="O72" s="1">
        <f t="shared" si="13"/>
        <v>0.83285921681938546</v>
      </c>
      <c r="P72" s="1">
        <f t="shared" si="14"/>
        <v>0.77103086787872943</v>
      </c>
      <c r="Q72" s="1">
        <f t="shared" si="16"/>
        <v>-12.551719172943109</v>
      </c>
      <c r="R72" s="1">
        <f t="shared" si="17"/>
        <v>0.13717382219136218</v>
      </c>
      <c r="S72" s="1">
        <f t="shared" si="15"/>
        <v>2.7798266017819335</v>
      </c>
      <c r="T72" s="10">
        <f t="shared" si="18"/>
        <v>0.60528759556345424</v>
      </c>
    </row>
    <row r="73" spans="2:20" s="11" customFormat="1" ht="15" customHeight="1" x14ac:dyDescent="0.25">
      <c r="C73" s="35">
        <f>C68</f>
        <v>35</v>
      </c>
      <c r="D73" s="35">
        <f>$F$91</f>
        <v>22</v>
      </c>
      <c r="E73" s="1">
        <f t="shared" si="4"/>
        <v>28.41083230784886</v>
      </c>
      <c r="F73" s="1">
        <f t="shared" si="19"/>
        <v>29.800531930842826</v>
      </c>
      <c r="G73" s="1">
        <f t="shared" si="5"/>
        <v>18.471196333564784</v>
      </c>
      <c r="H73" s="1">
        <f t="shared" si="6"/>
        <v>25.971196333564784</v>
      </c>
      <c r="I73" s="1">
        <f t="shared" si="7"/>
        <v>4.5229974595110258</v>
      </c>
      <c r="J73" s="1">
        <f t="shared" si="8"/>
        <v>4.0000038839762917</v>
      </c>
      <c r="K73" s="1">
        <f t="shared" si="9"/>
        <v>4.6014915177018976</v>
      </c>
      <c r="L73" s="1">
        <f t="shared" si="10"/>
        <v>4.0694216849905986</v>
      </c>
      <c r="M73" s="1">
        <f t="shared" si="11"/>
        <v>0.92830272097563959</v>
      </c>
      <c r="N73" s="1">
        <f t="shared" si="12"/>
        <v>0.86415136048781971</v>
      </c>
      <c r="O73" s="1">
        <f t="shared" si="13"/>
        <v>0.94441288872419382</v>
      </c>
      <c r="P73" s="1">
        <f t="shared" si="14"/>
        <v>0.8791482177231067</v>
      </c>
      <c r="Q73" s="1">
        <f t="shared" si="16"/>
        <v>4.7414330284953596</v>
      </c>
      <c r="R73" s="1">
        <f t="shared" si="17"/>
        <v>0.47050715552469552</v>
      </c>
      <c r="S73" s="1">
        <f t="shared" si="15"/>
        <v>4.6288515359988889</v>
      </c>
      <c r="T73" s="10">
        <f t="shared" si="18"/>
        <v>0.97202066816954424</v>
      </c>
    </row>
    <row r="74" spans="2:20" s="11" customFormat="1" ht="15" customHeight="1" x14ac:dyDescent="0.25">
      <c r="C74" s="35">
        <f t="shared" ref="C74:C87" si="20">C69</f>
        <v>45</v>
      </c>
      <c r="D74" s="35">
        <f>$F$91</f>
        <v>22</v>
      </c>
      <c r="E74" s="1">
        <f t="shared" si="4"/>
        <v>28.41083230784886</v>
      </c>
      <c r="F74" s="1">
        <f t="shared" si="19"/>
        <v>29.800531930842826</v>
      </c>
      <c r="G74" s="1">
        <f t="shared" si="5"/>
        <v>18.471196333564784</v>
      </c>
      <c r="H74" s="1">
        <f t="shared" si="6"/>
        <v>25.971196333564784</v>
      </c>
      <c r="I74" s="1">
        <f t="shared" si="7"/>
        <v>4.5229974595110258</v>
      </c>
      <c r="J74" s="1">
        <f t="shared" si="8"/>
        <v>4.0000038839762917</v>
      </c>
      <c r="K74" s="1">
        <f t="shared" si="9"/>
        <v>4.6014915177018976</v>
      </c>
      <c r="L74" s="1">
        <f t="shared" si="10"/>
        <v>4.0694216849905986</v>
      </c>
      <c r="M74" s="1">
        <f t="shared" si="11"/>
        <v>0.92830272097563959</v>
      </c>
      <c r="N74" s="1">
        <f t="shared" si="12"/>
        <v>0.86415136048781971</v>
      </c>
      <c r="O74" s="1">
        <f t="shared" si="13"/>
        <v>0.94441288872419382</v>
      </c>
      <c r="P74" s="1">
        <f t="shared" si="14"/>
        <v>0.8791482177231067</v>
      </c>
      <c r="Q74" s="1">
        <f t="shared" si="16"/>
        <v>11.937232634784394</v>
      </c>
      <c r="R74" s="1">
        <f t="shared" si="17"/>
        <v>0.47050715552469552</v>
      </c>
      <c r="S74" s="1">
        <f t="shared" si="15"/>
        <v>5.1629497901526058</v>
      </c>
      <c r="T74" s="10">
        <f t="shared" si="18"/>
        <v>1.084176899112185</v>
      </c>
    </row>
    <row r="75" spans="2:20" s="11" customFormat="1" ht="15" customHeight="1" x14ac:dyDescent="0.25">
      <c r="C75" s="35">
        <f t="shared" si="20"/>
        <v>25</v>
      </c>
      <c r="D75" s="35">
        <f>$F$91</f>
        <v>22</v>
      </c>
      <c r="E75" s="1">
        <f t="shared" si="4"/>
        <v>23.99756952267477</v>
      </c>
      <c r="F75" s="1">
        <f t="shared" si="19"/>
        <v>25.511112748181802</v>
      </c>
      <c r="G75" s="1">
        <f t="shared" si="5"/>
        <v>18.471196333564784</v>
      </c>
      <c r="H75" s="1">
        <f t="shared" si="6"/>
        <v>25.971196333564784</v>
      </c>
      <c r="I75" s="1">
        <f t="shared" si="7"/>
        <v>4.2737242351830576</v>
      </c>
      <c r="J75" s="1">
        <f t="shared" si="8"/>
        <v>3.7795540883686334</v>
      </c>
      <c r="K75" s="1">
        <f t="shared" si="9"/>
        <v>4.3592133207750932</v>
      </c>
      <c r="L75" s="1">
        <f t="shared" si="10"/>
        <v>3.8551580827256613</v>
      </c>
      <c r="M75" s="1">
        <f t="shared" si="11"/>
        <v>0.8771417343773763</v>
      </c>
      <c r="N75" s="1">
        <f t="shared" si="12"/>
        <v>0.81652590903344602</v>
      </c>
      <c r="O75" s="1">
        <f t="shared" si="13"/>
        <v>0.89468756576004171</v>
      </c>
      <c r="P75" s="1">
        <f t="shared" si="14"/>
        <v>0.83285921681938546</v>
      </c>
      <c r="Q75" s="1">
        <f t="shared" si="16"/>
        <v>0.66230713496102467</v>
      </c>
      <c r="R75" s="1">
        <f t="shared" si="17"/>
        <v>0.47050715552469552</v>
      </c>
      <c r="S75" s="1">
        <f t="shared" si="15"/>
        <v>4.0947532818451702</v>
      </c>
      <c r="T75" s="10">
        <f t="shared" si="18"/>
        <v>0.85986443722690464</v>
      </c>
    </row>
    <row r="76" spans="2:20" s="11" customFormat="1" ht="15" customHeight="1" x14ac:dyDescent="0.25">
      <c r="C76" s="35">
        <f t="shared" si="20"/>
        <v>15</v>
      </c>
      <c r="D76" s="35">
        <f>$F$91</f>
        <v>22</v>
      </c>
      <c r="E76" s="1">
        <f t="shared" si="4"/>
        <v>23.99756952267477</v>
      </c>
      <c r="F76" s="1">
        <f t="shared" si="19"/>
        <v>25.511112748181802</v>
      </c>
      <c r="G76" s="1">
        <f t="shared" si="5"/>
        <v>18.471196333564784</v>
      </c>
      <c r="H76" s="1">
        <f t="shared" si="6"/>
        <v>25.971196333564784</v>
      </c>
      <c r="I76" s="1">
        <f t="shared" si="7"/>
        <v>4.2737242351830576</v>
      </c>
      <c r="J76" s="1">
        <f t="shared" si="8"/>
        <v>3.7795540883686334</v>
      </c>
      <c r="K76" s="1">
        <f t="shared" si="9"/>
        <v>4.3592133207750932</v>
      </c>
      <c r="L76" s="1">
        <f t="shared" si="10"/>
        <v>3.8551580827256613</v>
      </c>
      <c r="M76" s="1">
        <f t="shared" si="11"/>
        <v>0.8771417343773763</v>
      </c>
      <c r="N76" s="1">
        <f t="shared" si="12"/>
        <v>0.81652590903344602</v>
      </c>
      <c r="O76" s="1">
        <f t="shared" si="13"/>
        <v>0.89468756576004171</v>
      </c>
      <c r="P76" s="1">
        <f t="shared" si="14"/>
        <v>0.83285921681938546</v>
      </c>
      <c r="Q76" s="1">
        <f t="shared" si="16"/>
        <v>-5.9447060189910426</v>
      </c>
      <c r="R76" s="1">
        <f t="shared" si="17"/>
        <v>0.47050715552469552</v>
      </c>
      <c r="S76" s="1">
        <f t="shared" si="15"/>
        <v>3.5606550276914479</v>
      </c>
      <c r="T76" s="10">
        <f t="shared" si="18"/>
        <v>0.74770820628426593</v>
      </c>
    </row>
    <row r="77" spans="2:20" s="11" customFormat="1" ht="15" customHeight="1" x14ac:dyDescent="0.25">
      <c r="C77" s="35">
        <f t="shared" si="20"/>
        <v>5</v>
      </c>
      <c r="D77" s="35">
        <f>$F$91</f>
        <v>22</v>
      </c>
      <c r="E77" s="1">
        <f t="shared" si="4"/>
        <v>23.99756952267477</v>
      </c>
      <c r="F77" s="1">
        <f t="shared" si="19"/>
        <v>25.511112748181802</v>
      </c>
      <c r="G77" s="1">
        <f t="shared" si="5"/>
        <v>18.471196333564784</v>
      </c>
      <c r="H77" s="1">
        <f t="shared" si="6"/>
        <v>25.971196333564784</v>
      </c>
      <c r="I77" s="1">
        <f t="shared" si="7"/>
        <v>4.2737242351830576</v>
      </c>
      <c r="J77" s="1">
        <f t="shared" si="8"/>
        <v>3.7795540883686334</v>
      </c>
      <c r="K77" s="1">
        <f t="shared" si="9"/>
        <v>4.3592133207750932</v>
      </c>
      <c r="L77" s="1">
        <f t="shared" si="10"/>
        <v>3.8551580827256613</v>
      </c>
      <c r="M77" s="1">
        <f t="shared" si="11"/>
        <v>0.8771417343773763</v>
      </c>
      <c r="N77" s="1">
        <f t="shared" si="12"/>
        <v>0.81652590903344602</v>
      </c>
      <c r="O77" s="1">
        <f t="shared" si="13"/>
        <v>0.89468756576004171</v>
      </c>
      <c r="P77" s="1">
        <f t="shared" si="14"/>
        <v>0.83285921681938546</v>
      </c>
      <c r="Q77" s="1">
        <f t="shared" si="16"/>
        <v>-12.551719172943109</v>
      </c>
      <c r="R77" s="1">
        <f t="shared" si="17"/>
        <v>0.47050715552469552</v>
      </c>
      <c r="S77" s="1">
        <f t="shared" si="15"/>
        <v>3.0265567735377239</v>
      </c>
      <c r="T77" s="10">
        <f t="shared" si="18"/>
        <v>0.63555197534162833</v>
      </c>
    </row>
    <row r="78" spans="2:20" s="11" customFormat="1" ht="15" customHeight="1" x14ac:dyDescent="0.25">
      <c r="C78" s="35">
        <f t="shared" si="20"/>
        <v>35</v>
      </c>
      <c r="D78" s="35">
        <f>$H$91</f>
        <v>32</v>
      </c>
      <c r="E78" s="1">
        <f t="shared" si="4"/>
        <v>28.41083230784886</v>
      </c>
      <c r="F78" s="1">
        <f t="shared" si="19"/>
        <v>29.800531930842826</v>
      </c>
      <c r="G78" s="1">
        <f t="shared" si="5"/>
        <v>25.971196333564784</v>
      </c>
      <c r="H78" s="1">
        <f t="shared" si="6"/>
        <v>33.471196333564784</v>
      </c>
      <c r="I78" s="1">
        <f t="shared" si="7"/>
        <v>4.0000038839762917</v>
      </c>
      <c r="J78" s="1">
        <f t="shared" si="8"/>
        <v>3.4770103084415585</v>
      </c>
      <c r="K78" s="1">
        <f t="shared" si="9"/>
        <v>4.0694216849905986</v>
      </c>
      <c r="L78" s="1">
        <f t="shared" si="10"/>
        <v>3.5373518522792993</v>
      </c>
      <c r="M78" s="1">
        <f t="shared" si="11"/>
        <v>0.86415136048781971</v>
      </c>
      <c r="N78" s="1">
        <f t="shared" si="12"/>
        <v>0.8</v>
      </c>
      <c r="O78" s="1">
        <f t="shared" si="13"/>
        <v>0.8791482177231067</v>
      </c>
      <c r="P78" s="1">
        <f t="shared" si="14"/>
        <v>0.81388354672201979</v>
      </c>
      <c r="Q78" s="1">
        <f t="shared" si="16"/>
        <v>4.7414330284953596</v>
      </c>
      <c r="R78" s="1">
        <f t="shared" si="17"/>
        <v>0.80384048885802883</v>
      </c>
      <c r="S78" s="1">
        <f t="shared" si="15"/>
        <v>3.8741474812164629</v>
      </c>
      <c r="T78" s="10">
        <f t="shared" si="18"/>
        <v>0.87944727120101618</v>
      </c>
    </row>
    <row r="79" spans="2:20" s="11" customFormat="1" ht="15" customHeight="1" x14ac:dyDescent="0.25">
      <c r="C79" s="35">
        <f t="shared" si="20"/>
        <v>45</v>
      </c>
      <c r="D79" s="35">
        <f>$H$91</f>
        <v>32</v>
      </c>
      <c r="E79" s="1">
        <f t="shared" si="4"/>
        <v>28.41083230784886</v>
      </c>
      <c r="F79" s="1">
        <f t="shared" si="19"/>
        <v>29.800531930842826</v>
      </c>
      <c r="G79" s="1">
        <f t="shared" si="5"/>
        <v>25.971196333564784</v>
      </c>
      <c r="H79" s="1">
        <f t="shared" si="6"/>
        <v>33.471196333564784</v>
      </c>
      <c r="I79" s="1">
        <f t="shared" si="7"/>
        <v>4.0000038839762917</v>
      </c>
      <c r="J79" s="1">
        <f t="shared" si="8"/>
        <v>3.4770103084415585</v>
      </c>
      <c r="K79" s="1">
        <f t="shared" si="9"/>
        <v>4.0694216849905986</v>
      </c>
      <c r="L79" s="1">
        <f t="shared" si="10"/>
        <v>3.5373518522792993</v>
      </c>
      <c r="M79" s="1">
        <f t="shared" si="11"/>
        <v>0.86415136048781971</v>
      </c>
      <c r="N79" s="1">
        <f t="shared" si="12"/>
        <v>0.8</v>
      </c>
      <c r="O79" s="1">
        <f t="shared" si="13"/>
        <v>0.8791482177231067</v>
      </c>
      <c r="P79" s="1">
        <f t="shared" si="14"/>
        <v>0.81388354672201979</v>
      </c>
      <c r="Q79" s="1">
        <f t="shared" si="16"/>
        <v>11.937232634784394</v>
      </c>
      <c r="R79" s="1">
        <f t="shared" si="17"/>
        <v>0.80384048885802883</v>
      </c>
      <c r="S79" s="1">
        <f t="shared" si="15"/>
        <v>4.3211644982798987</v>
      </c>
      <c r="T79" s="10">
        <f t="shared" si="18"/>
        <v>0.98092195633959633</v>
      </c>
    </row>
    <row r="80" spans="2:20" s="11" customFormat="1" ht="15" customHeight="1" x14ac:dyDescent="0.25">
      <c r="C80" s="35">
        <f t="shared" si="20"/>
        <v>25</v>
      </c>
      <c r="D80" s="35">
        <f>$H$91</f>
        <v>32</v>
      </c>
      <c r="E80" s="1">
        <f t="shared" si="4"/>
        <v>23.99756952267477</v>
      </c>
      <c r="F80" s="1">
        <f t="shared" si="19"/>
        <v>25.511112748181802</v>
      </c>
      <c r="G80" s="1">
        <f t="shared" si="5"/>
        <v>25.971196333564784</v>
      </c>
      <c r="H80" s="1">
        <f t="shared" si="6"/>
        <v>33.471196333564784</v>
      </c>
      <c r="I80" s="1">
        <f t="shared" si="7"/>
        <v>3.7795540883686334</v>
      </c>
      <c r="J80" s="1">
        <f t="shared" si="8"/>
        <v>3.2853839415542092</v>
      </c>
      <c r="K80" s="1">
        <f t="shared" si="9"/>
        <v>3.8551580827256613</v>
      </c>
      <c r="L80" s="1">
        <f t="shared" si="10"/>
        <v>3.3511028446762294</v>
      </c>
      <c r="M80" s="1">
        <f t="shared" si="11"/>
        <v>0.81652590903344602</v>
      </c>
      <c r="N80" s="1">
        <f t="shared" si="12"/>
        <v>0.75591008368951584</v>
      </c>
      <c r="O80" s="1">
        <f t="shared" si="13"/>
        <v>0.83285921681938546</v>
      </c>
      <c r="P80" s="1">
        <f t="shared" si="14"/>
        <v>0.77103086787872943</v>
      </c>
      <c r="Q80" s="1">
        <f t="shared" si="16"/>
        <v>0.66230713496102467</v>
      </c>
      <c r="R80" s="1">
        <f t="shared" si="17"/>
        <v>0.80384048885802883</v>
      </c>
      <c r="S80" s="1">
        <f t="shared" si="15"/>
        <v>3.4271304641530231</v>
      </c>
      <c r="T80" s="10">
        <f t="shared" si="18"/>
        <v>0.77797258606243758</v>
      </c>
    </row>
    <row r="81" spans="3:20" s="11" customFormat="1" ht="15" customHeight="1" x14ac:dyDescent="0.25">
      <c r="C81" s="35">
        <f t="shared" si="20"/>
        <v>15</v>
      </c>
      <c r="D81" s="35">
        <f>$H$91</f>
        <v>32</v>
      </c>
      <c r="E81" s="1">
        <f t="shared" si="4"/>
        <v>23.99756952267477</v>
      </c>
      <c r="F81" s="1">
        <f t="shared" si="19"/>
        <v>25.511112748181802</v>
      </c>
      <c r="G81" s="1">
        <f t="shared" si="5"/>
        <v>25.971196333564784</v>
      </c>
      <c r="H81" s="1">
        <f t="shared" si="6"/>
        <v>33.471196333564784</v>
      </c>
      <c r="I81" s="1">
        <f t="shared" si="7"/>
        <v>3.7795540883686334</v>
      </c>
      <c r="J81" s="1">
        <f t="shared" si="8"/>
        <v>3.2853839415542092</v>
      </c>
      <c r="K81" s="1">
        <f t="shared" si="9"/>
        <v>3.8551580827256613</v>
      </c>
      <c r="L81" s="1">
        <f t="shared" si="10"/>
        <v>3.3511028446762294</v>
      </c>
      <c r="M81" s="1">
        <f t="shared" si="11"/>
        <v>0.81652590903344602</v>
      </c>
      <c r="N81" s="1">
        <f t="shared" si="12"/>
        <v>0.75591008368951584</v>
      </c>
      <c r="O81" s="1">
        <f t="shared" si="13"/>
        <v>0.83285921681938546</v>
      </c>
      <c r="P81" s="1">
        <f t="shared" si="14"/>
        <v>0.77103086787872943</v>
      </c>
      <c r="Q81" s="1">
        <f t="shared" si="16"/>
        <v>-5.9447060189910426</v>
      </c>
      <c r="R81" s="1">
        <f t="shared" si="17"/>
        <v>0.80384048885802883</v>
      </c>
      <c r="S81" s="1">
        <f t="shared" si="15"/>
        <v>2.9801134470895825</v>
      </c>
      <c r="T81" s="10">
        <f t="shared" si="18"/>
        <v>0.67649790092385986</v>
      </c>
    </row>
    <row r="82" spans="3:20" s="11" customFormat="1" ht="15" customHeight="1" x14ac:dyDescent="0.25">
      <c r="C82" s="35">
        <f t="shared" si="20"/>
        <v>5</v>
      </c>
      <c r="D82" s="35">
        <f>$H$91</f>
        <v>32</v>
      </c>
      <c r="E82" s="1">
        <f t="shared" si="4"/>
        <v>23.99756952267477</v>
      </c>
      <c r="F82" s="1">
        <f t="shared" si="19"/>
        <v>25.511112748181802</v>
      </c>
      <c r="G82" s="1">
        <f t="shared" si="5"/>
        <v>25.971196333564784</v>
      </c>
      <c r="H82" s="1">
        <f t="shared" si="6"/>
        <v>33.471196333564784</v>
      </c>
      <c r="I82" s="1">
        <f t="shared" si="7"/>
        <v>3.7795540883686334</v>
      </c>
      <c r="J82" s="1">
        <f t="shared" si="8"/>
        <v>3.2853839415542092</v>
      </c>
      <c r="K82" s="1">
        <f t="shared" si="9"/>
        <v>3.8551580827256613</v>
      </c>
      <c r="L82" s="1">
        <f t="shared" si="10"/>
        <v>3.3511028446762294</v>
      </c>
      <c r="M82" s="1">
        <f t="shared" si="11"/>
        <v>0.81652590903344602</v>
      </c>
      <c r="N82" s="1">
        <f t="shared" si="12"/>
        <v>0.75591008368951584</v>
      </c>
      <c r="O82" s="1">
        <f t="shared" si="13"/>
        <v>0.83285921681938546</v>
      </c>
      <c r="P82" s="1">
        <f t="shared" si="14"/>
        <v>0.77103086787872943</v>
      </c>
      <c r="Q82" s="1">
        <f t="shared" si="16"/>
        <v>-12.551719172943109</v>
      </c>
      <c r="R82" s="1">
        <f t="shared" si="17"/>
        <v>0.80384048885802883</v>
      </c>
      <c r="S82" s="1">
        <f t="shared" si="15"/>
        <v>2.5330964300261485</v>
      </c>
      <c r="T82" s="10">
        <f t="shared" si="18"/>
        <v>0.57502321578528015</v>
      </c>
    </row>
    <row r="83" spans="3:20" s="11" customFormat="1" ht="15" customHeight="1" x14ac:dyDescent="0.25">
      <c r="C83" s="35">
        <f t="shared" si="20"/>
        <v>35</v>
      </c>
      <c r="D83" s="35">
        <f>$I$91</f>
        <v>37</v>
      </c>
      <c r="E83" s="1">
        <f t="shared" si="4"/>
        <v>28.41083230784886</v>
      </c>
      <c r="F83" s="1">
        <f t="shared" si="19"/>
        <v>29.800531930842826</v>
      </c>
      <c r="G83" s="1">
        <f t="shared" si="5"/>
        <v>33.471196333564784</v>
      </c>
      <c r="H83" s="1">
        <f t="shared" si="6"/>
        <v>40.971196333564784</v>
      </c>
      <c r="I83" s="1">
        <f t="shared" si="7"/>
        <v>3.4770103084415585</v>
      </c>
      <c r="J83" s="1">
        <f t="shared" si="8"/>
        <v>2.9540167329068248</v>
      </c>
      <c r="K83" s="1">
        <f t="shared" si="9"/>
        <v>3.5373518522792993</v>
      </c>
      <c r="L83" s="1">
        <f t="shared" si="10"/>
        <v>3.0052820195679999</v>
      </c>
      <c r="M83" s="1">
        <f t="shared" si="11"/>
        <v>0.8</v>
      </c>
      <c r="N83" s="1">
        <f t="shared" si="12"/>
        <v>0.73584863951218038</v>
      </c>
      <c r="O83" s="1">
        <f t="shared" si="13"/>
        <v>0.81388354672201979</v>
      </c>
      <c r="P83" s="1">
        <f t="shared" si="14"/>
        <v>0.74861887572093289</v>
      </c>
      <c r="Q83" s="1">
        <f t="shared" si="16"/>
        <v>4.7414330284953596</v>
      </c>
      <c r="R83" s="1">
        <f t="shared" si="17"/>
        <v>0.47050715552469552</v>
      </c>
      <c r="S83" s="1">
        <f t="shared" si="15"/>
        <v>3.4967954538252481</v>
      </c>
      <c r="T83" s="10">
        <f t="shared" si="18"/>
        <v>0.83316057271675237</v>
      </c>
    </row>
    <row r="84" spans="3:20" s="11" customFormat="1" ht="15" customHeight="1" x14ac:dyDescent="0.25">
      <c r="C84" s="35">
        <f t="shared" si="20"/>
        <v>45</v>
      </c>
      <c r="D84" s="35">
        <f>$I$91</f>
        <v>37</v>
      </c>
      <c r="E84" s="1">
        <f t="shared" si="4"/>
        <v>28.41083230784886</v>
      </c>
      <c r="F84" s="1">
        <f t="shared" si="19"/>
        <v>29.800531930842826</v>
      </c>
      <c r="G84" s="1">
        <f t="shared" si="5"/>
        <v>33.471196333564784</v>
      </c>
      <c r="H84" s="1">
        <f t="shared" si="6"/>
        <v>40.971196333564784</v>
      </c>
      <c r="I84" s="1">
        <f t="shared" si="7"/>
        <v>3.4770103084415585</v>
      </c>
      <c r="J84" s="1">
        <f t="shared" si="8"/>
        <v>2.9540167329068248</v>
      </c>
      <c r="K84" s="1">
        <f t="shared" si="9"/>
        <v>3.5373518522792993</v>
      </c>
      <c r="L84" s="1">
        <f t="shared" si="10"/>
        <v>3.0052820195679999</v>
      </c>
      <c r="M84" s="1">
        <f t="shared" si="11"/>
        <v>0.8</v>
      </c>
      <c r="N84" s="1">
        <f t="shared" si="12"/>
        <v>0.73584863951218038</v>
      </c>
      <c r="O84" s="1">
        <f t="shared" si="13"/>
        <v>0.81388354672201979</v>
      </c>
      <c r="P84" s="1">
        <f t="shared" si="14"/>
        <v>0.74861887572093289</v>
      </c>
      <c r="Q84" s="1">
        <f t="shared" si="16"/>
        <v>11.937232634784394</v>
      </c>
      <c r="R84" s="1">
        <f t="shared" si="17"/>
        <v>0.47050715552469552</v>
      </c>
      <c r="S84" s="1">
        <f t="shared" si="15"/>
        <v>3.9002718523435469</v>
      </c>
      <c r="T84" s="10">
        <f t="shared" si="18"/>
        <v>0.92929448495330025</v>
      </c>
    </row>
    <row r="85" spans="3:20" s="11" customFormat="1" ht="15" customHeight="1" x14ac:dyDescent="0.25">
      <c r="C85" s="35">
        <f t="shared" si="20"/>
        <v>25</v>
      </c>
      <c r="D85" s="35">
        <f>$I$91</f>
        <v>37</v>
      </c>
      <c r="E85" s="1">
        <f t="shared" si="4"/>
        <v>23.99756952267477</v>
      </c>
      <c r="F85" s="1">
        <f t="shared" si="19"/>
        <v>25.511112748181802</v>
      </c>
      <c r="G85" s="1">
        <f t="shared" si="5"/>
        <v>33.471196333564784</v>
      </c>
      <c r="H85" s="1">
        <f t="shared" si="6"/>
        <v>40.971196333564784</v>
      </c>
      <c r="I85" s="1">
        <f t="shared" si="7"/>
        <v>3.2853839415542092</v>
      </c>
      <c r="J85" s="1">
        <f t="shared" si="8"/>
        <v>2.791213794739785</v>
      </c>
      <c r="K85" s="1">
        <f t="shared" si="9"/>
        <v>3.3511028446762294</v>
      </c>
      <c r="L85" s="1">
        <f t="shared" si="10"/>
        <v>2.8470476066267976</v>
      </c>
      <c r="M85" s="1">
        <f t="shared" si="11"/>
        <v>0.75591008368951584</v>
      </c>
      <c r="N85" s="1">
        <f t="shared" si="12"/>
        <v>0.69529425834558567</v>
      </c>
      <c r="O85" s="1">
        <f t="shared" si="13"/>
        <v>0.77103086787872943</v>
      </c>
      <c r="P85" s="1">
        <f t="shared" si="14"/>
        <v>0.7092025189380734</v>
      </c>
      <c r="Q85" s="1">
        <f t="shared" si="16"/>
        <v>0.66230713496102467</v>
      </c>
      <c r="R85" s="1">
        <f t="shared" si="17"/>
        <v>0.47050715552469552</v>
      </c>
      <c r="S85" s="1">
        <f t="shared" si="15"/>
        <v>3.093319055306949</v>
      </c>
      <c r="T85" s="10">
        <f t="shared" si="18"/>
        <v>0.73702666048020393</v>
      </c>
    </row>
    <row r="86" spans="3:20" s="11" customFormat="1" ht="15" customHeight="1" x14ac:dyDescent="0.25">
      <c r="C86" s="35">
        <f t="shared" si="20"/>
        <v>15</v>
      </c>
      <c r="D86" s="35">
        <f>$I$91</f>
        <v>37</v>
      </c>
      <c r="E86" s="1">
        <f t="shared" si="4"/>
        <v>23.99756952267477</v>
      </c>
      <c r="F86" s="1">
        <f t="shared" si="19"/>
        <v>25.511112748181802</v>
      </c>
      <c r="G86" s="1">
        <f t="shared" si="5"/>
        <v>33.471196333564784</v>
      </c>
      <c r="H86" s="1">
        <f t="shared" si="6"/>
        <v>40.971196333564784</v>
      </c>
      <c r="I86" s="1">
        <f t="shared" si="7"/>
        <v>3.2853839415542092</v>
      </c>
      <c r="J86" s="1">
        <f t="shared" si="8"/>
        <v>2.791213794739785</v>
      </c>
      <c r="K86" s="1">
        <f t="shared" si="9"/>
        <v>3.3511028446762294</v>
      </c>
      <c r="L86" s="1">
        <f t="shared" si="10"/>
        <v>2.8470476066267976</v>
      </c>
      <c r="M86" s="1">
        <f t="shared" si="11"/>
        <v>0.75591008368951584</v>
      </c>
      <c r="N86" s="1">
        <f t="shared" si="12"/>
        <v>0.69529425834558567</v>
      </c>
      <c r="O86" s="1">
        <f t="shared" si="13"/>
        <v>0.77103086787872943</v>
      </c>
      <c r="P86" s="1">
        <f t="shared" si="14"/>
        <v>0.7092025189380734</v>
      </c>
      <c r="Q86" s="1">
        <f t="shared" si="16"/>
        <v>-5.9447060189910426</v>
      </c>
      <c r="R86" s="1">
        <f t="shared" si="17"/>
        <v>0.47050715552469552</v>
      </c>
      <c r="S86" s="1">
        <f t="shared" si="15"/>
        <v>2.6898426567886506</v>
      </c>
      <c r="T86" s="10">
        <f t="shared" si="18"/>
        <v>0.64089274824365594</v>
      </c>
    </row>
    <row r="87" spans="3:20" s="11" customFormat="1" ht="15" customHeight="1" x14ac:dyDescent="0.25">
      <c r="C87" s="35">
        <f t="shared" si="20"/>
        <v>5</v>
      </c>
      <c r="D87" s="35">
        <f>$I$91</f>
        <v>37</v>
      </c>
      <c r="E87" s="1">
        <f t="shared" si="4"/>
        <v>23.99756952267477</v>
      </c>
      <c r="F87" s="1">
        <f t="shared" si="19"/>
        <v>25.511112748181802</v>
      </c>
      <c r="G87" s="1">
        <f t="shared" si="5"/>
        <v>33.471196333564784</v>
      </c>
      <c r="H87" s="1">
        <f t="shared" si="6"/>
        <v>40.971196333564784</v>
      </c>
      <c r="I87" s="1">
        <f t="shared" si="7"/>
        <v>3.2853839415542092</v>
      </c>
      <c r="J87" s="1">
        <f t="shared" si="8"/>
        <v>2.791213794739785</v>
      </c>
      <c r="K87" s="1">
        <f t="shared" si="9"/>
        <v>3.3511028446762294</v>
      </c>
      <c r="L87" s="1">
        <f t="shared" si="10"/>
        <v>2.8470476066267976</v>
      </c>
      <c r="M87" s="1">
        <f t="shared" si="11"/>
        <v>0.75591008368951584</v>
      </c>
      <c r="N87" s="1">
        <f t="shared" si="12"/>
        <v>0.69529425834558567</v>
      </c>
      <c r="O87" s="1">
        <f t="shared" si="13"/>
        <v>0.77103086787872943</v>
      </c>
      <c r="P87" s="1">
        <f t="shared" si="14"/>
        <v>0.7092025189380734</v>
      </c>
      <c r="Q87" s="1">
        <f t="shared" si="16"/>
        <v>-12.551719172943109</v>
      </c>
      <c r="R87" s="1">
        <f t="shared" si="17"/>
        <v>0.47050715552469552</v>
      </c>
      <c r="S87" s="1">
        <f t="shared" si="15"/>
        <v>2.2863662582703554</v>
      </c>
      <c r="T87" s="10">
        <f t="shared" si="18"/>
        <v>0.54475883600710784</v>
      </c>
    </row>
    <row r="88" spans="3:20" s="11" customFormat="1" ht="14.25" customHeight="1" x14ac:dyDescent="0.25"/>
    <row r="90" spans="3:20" s="11" customFormat="1" x14ac:dyDescent="0.25">
      <c r="C90" s="31" t="s">
        <v>62</v>
      </c>
      <c r="D90" s="26"/>
      <c r="E90" s="26"/>
      <c r="F90" s="166" t="s">
        <v>100</v>
      </c>
      <c r="G90" s="166"/>
      <c r="H90" s="166"/>
      <c r="I90" s="166"/>
      <c r="L90" s="31" t="s">
        <v>2</v>
      </c>
      <c r="M90" s="26"/>
      <c r="N90" s="26"/>
      <c r="O90" s="166" t="s">
        <v>100</v>
      </c>
      <c r="P90" s="166"/>
      <c r="Q90" s="166"/>
      <c r="R90" s="166"/>
    </row>
    <row r="91" spans="3:20" s="11" customFormat="1" x14ac:dyDescent="0.25">
      <c r="C91" s="33" t="s">
        <v>4</v>
      </c>
      <c r="D91" s="26"/>
      <c r="E91" s="26"/>
      <c r="F91" s="27">
        <v>22</v>
      </c>
      <c r="G91" s="27">
        <v>27</v>
      </c>
      <c r="H91" s="27">
        <v>32</v>
      </c>
      <c r="I91" s="27">
        <v>37</v>
      </c>
      <c r="L91" s="33" t="s">
        <v>3</v>
      </c>
      <c r="M91" s="26"/>
      <c r="N91" s="26"/>
      <c r="O91" s="27">
        <f>F91</f>
        <v>22</v>
      </c>
      <c r="P91" s="27">
        <f>G91</f>
        <v>27</v>
      </c>
      <c r="Q91" s="27">
        <f>H91</f>
        <v>32</v>
      </c>
      <c r="R91" s="27">
        <f>I91</f>
        <v>37</v>
      </c>
    </row>
    <row r="92" spans="3:20" s="11" customFormat="1" x14ac:dyDescent="0.25">
      <c r="C92" s="26"/>
      <c r="D92" s="26"/>
      <c r="E92" s="22" t="s">
        <v>1</v>
      </c>
      <c r="F92" s="95">
        <v>3</v>
      </c>
      <c r="G92" s="95">
        <v>1</v>
      </c>
      <c r="H92" s="95">
        <v>2</v>
      </c>
      <c r="I92" s="95">
        <v>4</v>
      </c>
      <c r="L92" s="26"/>
      <c r="M92" s="26"/>
      <c r="N92" s="22" t="s">
        <v>1</v>
      </c>
      <c r="O92" s="95">
        <v>3</v>
      </c>
      <c r="P92" s="95">
        <v>1</v>
      </c>
      <c r="Q92" s="95">
        <v>2</v>
      </c>
      <c r="R92" s="95">
        <v>4</v>
      </c>
    </row>
    <row r="93" spans="3:20" s="11" customFormat="1" ht="15" customHeight="1" x14ac:dyDescent="0.25">
      <c r="C93" s="136" t="s">
        <v>101</v>
      </c>
      <c r="D93" s="27">
        <f>C57</f>
        <v>5</v>
      </c>
      <c r="E93" s="95">
        <v>5</v>
      </c>
      <c r="F93" s="6">
        <f>S77</f>
        <v>3.0265567735377239</v>
      </c>
      <c r="G93" s="6">
        <f>S72</f>
        <v>2.7798266017819335</v>
      </c>
      <c r="H93" s="6">
        <f>S82</f>
        <v>2.5330964300261485</v>
      </c>
      <c r="I93" s="5">
        <f>S87</f>
        <v>2.2863662582703554</v>
      </c>
      <c r="L93" s="136" t="s">
        <v>101</v>
      </c>
      <c r="M93" s="27">
        <f>D93</f>
        <v>5</v>
      </c>
      <c r="N93" s="95">
        <v>5</v>
      </c>
      <c r="O93" s="6">
        <f>T77</f>
        <v>0.63555197534162833</v>
      </c>
      <c r="P93" s="6">
        <f>T72</f>
        <v>0.60528759556345424</v>
      </c>
      <c r="Q93" s="6">
        <f>T82</f>
        <v>0.57502321578528015</v>
      </c>
      <c r="R93" s="5">
        <f>T87</f>
        <v>0.54475883600710784</v>
      </c>
    </row>
    <row r="94" spans="3:20" s="11" customFormat="1" x14ac:dyDescent="0.25">
      <c r="C94" s="137"/>
      <c r="D94" s="27">
        <f>C58</f>
        <v>15</v>
      </c>
      <c r="E94" s="95">
        <v>4</v>
      </c>
      <c r="F94" s="6">
        <f>S76</f>
        <v>3.5606550276914479</v>
      </c>
      <c r="G94" s="6">
        <f>S71</f>
        <v>3.2703842373905152</v>
      </c>
      <c r="H94" s="6">
        <f>S81</f>
        <v>2.9801134470895825</v>
      </c>
      <c r="I94" s="5">
        <f>S86</f>
        <v>2.6898426567886506</v>
      </c>
      <c r="L94" s="137"/>
      <c r="M94" s="27">
        <f>D94</f>
        <v>15</v>
      </c>
      <c r="N94" s="95">
        <v>4</v>
      </c>
      <c r="O94" s="6">
        <f>T76</f>
        <v>0.74770820628426593</v>
      </c>
      <c r="P94" s="6">
        <f>T71</f>
        <v>0.71210305360406367</v>
      </c>
      <c r="Q94" s="6">
        <f>T81</f>
        <v>0.67649790092385986</v>
      </c>
      <c r="R94" s="5">
        <f>T86</f>
        <v>0.64089274824365594</v>
      </c>
    </row>
    <row r="95" spans="3:20" s="11" customFormat="1" x14ac:dyDescent="0.25">
      <c r="C95" s="137"/>
      <c r="D95" s="27">
        <f>C59</f>
        <v>25</v>
      </c>
      <c r="E95" s="95">
        <v>2</v>
      </c>
      <c r="F95" s="6">
        <f>S75</f>
        <v>4.0947532818451702</v>
      </c>
      <c r="G95" s="6">
        <f>S70</f>
        <v>3.7609418729990964</v>
      </c>
      <c r="H95" s="6">
        <f>S80</f>
        <v>3.4271304641530231</v>
      </c>
      <c r="I95" s="5">
        <f>S85</f>
        <v>3.093319055306949</v>
      </c>
      <c r="L95" s="137"/>
      <c r="M95" s="27">
        <f>D95</f>
        <v>25</v>
      </c>
      <c r="N95" s="95">
        <v>2</v>
      </c>
      <c r="O95" s="6">
        <f>T75</f>
        <v>0.85986443722690464</v>
      </c>
      <c r="P95" s="6">
        <f>T70</f>
        <v>0.81891851164467111</v>
      </c>
      <c r="Q95" s="6">
        <f>T80</f>
        <v>0.77797258606243758</v>
      </c>
      <c r="R95" s="5">
        <f>T85</f>
        <v>0.73702666048020393</v>
      </c>
    </row>
    <row r="96" spans="3:20" s="11" customFormat="1" x14ac:dyDescent="0.25">
      <c r="C96" s="137"/>
      <c r="D96" s="27">
        <f>C60</f>
        <v>35</v>
      </c>
      <c r="E96" s="95">
        <v>1</v>
      </c>
      <c r="F96" s="6">
        <f>S73</f>
        <v>4.6288515359988889</v>
      </c>
      <c r="G96" s="6">
        <f>S68</f>
        <v>4.2514995086076759</v>
      </c>
      <c r="H96" s="6">
        <f>S78</f>
        <v>3.8741474812164629</v>
      </c>
      <c r="I96" s="5">
        <f>S83</f>
        <v>3.4967954538252481</v>
      </c>
      <c r="L96" s="137"/>
      <c r="M96" s="27">
        <f>D96</f>
        <v>35</v>
      </c>
      <c r="N96" s="95">
        <v>1</v>
      </c>
      <c r="O96" s="6">
        <f>T73</f>
        <v>0.97202066816954424</v>
      </c>
      <c r="P96" s="6">
        <f>T68</f>
        <v>0.92573396968528077</v>
      </c>
      <c r="Q96" s="6">
        <f>T78</f>
        <v>0.87944727120101618</v>
      </c>
      <c r="R96" s="5">
        <f>T83</f>
        <v>0.83316057271675237</v>
      </c>
    </row>
    <row r="97" spans="3:21" s="11" customFormat="1" x14ac:dyDescent="0.25">
      <c r="C97" s="138"/>
      <c r="D97" s="27">
        <f>C61</f>
        <v>45</v>
      </c>
      <c r="E97" s="95">
        <v>3</v>
      </c>
      <c r="F97" s="6">
        <f>S74</f>
        <v>5.1629497901526058</v>
      </c>
      <c r="G97" s="6">
        <f>S69</f>
        <v>4.7420571442162567</v>
      </c>
      <c r="H97" s="5">
        <f>S79</f>
        <v>4.3211644982798987</v>
      </c>
      <c r="I97" s="5">
        <f>S84</f>
        <v>3.9002718523435469</v>
      </c>
      <c r="L97" s="138"/>
      <c r="M97" s="27">
        <f>D97</f>
        <v>45</v>
      </c>
      <c r="N97" s="95">
        <v>3</v>
      </c>
      <c r="O97" s="6">
        <f>T74</f>
        <v>1.084176899112185</v>
      </c>
      <c r="P97" s="6">
        <f>T69</f>
        <v>1.0325494277258915</v>
      </c>
      <c r="Q97" s="5">
        <f>T79</f>
        <v>0.98092195633959633</v>
      </c>
      <c r="R97" s="5">
        <f>T84</f>
        <v>0.92929448495330025</v>
      </c>
    </row>
    <row r="100" spans="3:21" s="11" customFormat="1" x14ac:dyDescent="0.25"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3:21" s="11" customFormat="1" x14ac:dyDescent="0.25"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3:21" s="11" customFormat="1" x14ac:dyDescent="0.25"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3:21" s="11" customFormat="1" x14ac:dyDescent="0.25"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3:21" s="11" customFormat="1" x14ac:dyDescent="0.25"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3:21" s="11" customFormat="1" x14ac:dyDescent="0.25">
      <c r="F105" s="44"/>
      <c r="G105" s="44"/>
      <c r="H105" s="44"/>
      <c r="I105" s="44"/>
      <c r="J105" s="44"/>
      <c r="Q105" s="44"/>
      <c r="R105" s="44"/>
      <c r="S105" s="44"/>
      <c r="T105" s="44"/>
      <c r="U105" s="44"/>
    </row>
    <row r="106" spans="3:21" s="11" customFormat="1" x14ac:dyDescent="0.25">
      <c r="F106" s="44"/>
      <c r="G106" s="44"/>
      <c r="H106" s="44"/>
      <c r="I106" s="44"/>
      <c r="J106" s="44"/>
      <c r="Q106" s="44"/>
      <c r="R106" s="44"/>
      <c r="S106" s="44"/>
      <c r="T106" s="44"/>
      <c r="U106" s="44"/>
    </row>
  </sheetData>
  <mergeCells count="11">
    <mergeCell ref="C93:C97"/>
    <mergeCell ref="L93:L97"/>
    <mergeCell ref="C30:C32"/>
    <mergeCell ref="H30:H32"/>
    <mergeCell ref="F53:J53"/>
    <mergeCell ref="E25:F25"/>
    <mergeCell ref="B57:B61"/>
    <mergeCell ref="M57:M61"/>
    <mergeCell ref="F90:I90"/>
    <mergeCell ref="O90:R90"/>
    <mergeCell ref="Q53:U53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2:H13"/>
  <sheetViews>
    <sheetView workbookViewId="0">
      <selection activeCell="B12" sqref="B12:B13"/>
    </sheetView>
  </sheetViews>
  <sheetFormatPr baseColWidth="10" defaultRowHeight="15" x14ac:dyDescent="0.25"/>
  <cols>
    <col min="2" max="2" width="41.42578125" customWidth="1"/>
    <col min="6" max="6" width="44.42578125" customWidth="1"/>
  </cols>
  <sheetData>
    <row r="2" spans="2:8" x14ac:dyDescent="0.25">
      <c r="B2" s="107" t="s">
        <v>179</v>
      </c>
      <c r="C2" s="107"/>
      <c r="D2" s="108"/>
      <c r="F2" s="107" t="s">
        <v>180</v>
      </c>
      <c r="G2" s="107"/>
      <c r="H2" s="108"/>
    </row>
    <row r="3" spans="2:8" x14ac:dyDescent="0.25">
      <c r="B3" t="s">
        <v>177</v>
      </c>
      <c r="C3" s="104"/>
      <c r="D3" s="104"/>
      <c r="F3" t="s">
        <v>182</v>
      </c>
      <c r="G3" s="104"/>
      <c r="H3" s="104"/>
    </row>
    <row r="4" spans="2:8" x14ac:dyDescent="0.25">
      <c r="B4" t="s">
        <v>178</v>
      </c>
      <c r="C4" s="104"/>
      <c r="D4" s="104"/>
      <c r="F4" t="s">
        <v>178</v>
      </c>
      <c r="G4" s="104"/>
      <c r="H4" s="104"/>
    </row>
    <row r="5" spans="2:8" ht="15.75" customHeight="1" x14ac:dyDescent="0.25">
      <c r="C5" s="104"/>
      <c r="D5" s="104"/>
      <c r="G5" s="104"/>
      <c r="H5" s="104"/>
    </row>
    <row r="6" spans="2:8" x14ac:dyDescent="0.25">
      <c r="B6" s="107" t="s">
        <v>184</v>
      </c>
      <c r="C6" s="107" t="s">
        <v>125</v>
      </c>
      <c r="D6" s="108" t="s">
        <v>181</v>
      </c>
    </row>
    <row r="7" spans="2:8" x14ac:dyDescent="0.25">
      <c r="B7" t="s">
        <v>173</v>
      </c>
      <c r="C7" s="104">
        <v>1</v>
      </c>
      <c r="D7" s="104">
        <v>1</v>
      </c>
    </row>
    <row r="8" spans="2:8" x14ac:dyDescent="0.25">
      <c r="B8" t="s">
        <v>174</v>
      </c>
      <c r="C8" s="104">
        <v>0.9</v>
      </c>
      <c r="D8" s="104">
        <v>1</v>
      </c>
    </row>
    <row r="9" spans="2:8" x14ac:dyDescent="0.25">
      <c r="B9" t="s">
        <v>183</v>
      </c>
      <c r="C9" s="104">
        <v>0.8</v>
      </c>
      <c r="D9" s="104">
        <v>0.5</v>
      </c>
    </row>
    <row r="11" spans="2:8" ht="22.5" x14ac:dyDescent="0.25">
      <c r="B11" s="110" t="s">
        <v>135</v>
      </c>
      <c r="C11" s="111"/>
    </row>
    <row r="12" spans="2:8" x14ac:dyDescent="0.25">
      <c r="B12" s="122" t="s">
        <v>194</v>
      </c>
      <c r="C12" s="104"/>
    </row>
    <row r="13" spans="2:8" x14ac:dyDescent="0.25">
      <c r="B13" s="123" t="s">
        <v>195</v>
      </c>
      <c r="C13" s="104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38</vt:i4>
      </vt:variant>
    </vt:vector>
  </HeadingPairs>
  <TitlesOfParts>
    <vt:vector size="43" baseType="lpstr">
      <vt:lpstr>Mode chauffage</vt:lpstr>
      <vt:lpstr>Mode refroidissement</vt:lpstr>
      <vt:lpstr>Calcul chauffage</vt:lpstr>
      <vt:lpstr>Calcul refroidissement</vt:lpstr>
      <vt:lpstr>Ressources</vt:lpstr>
      <vt:lpstr>'Calcul chauffage'!Cp</vt:lpstr>
      <vt:lpstr>'Calcul refroidissement'!Cp</vt:lpstr>
      <vt:lpstr>Cv</vt:lpstr>
      <vt:lpstr>Dispo_Eff_ch</vt:lpstr>
      <vt:lpstr>Dispo_eff_fr</vt:lpstr>
      <vt:lpstr>'Calcul chauffage'!Eff_ech_ch</vt:lpstr>
      <vt:lpstr>'Calcul refroidissement'!Eff_ech_fr</vt:lpstr>
      <vt:lpstr>Eff_saisie</vt:lpstr>
      <vt:lpstr>FB</vt:lpstr>
      <vt:lpstr>Id_mode_ch</vt:lpstr>
      <vt:lpstr>Id_mode_fr</vt:lpstr>
      <vt:lpstr>Is_OK_ch</vt:lpstr>
      <vt:lpstr>Is_OK_fr</vt:lpstr>
      <vt:lpstr>Lv</vt:lpstr>
      <vt:lpstr>Modes</vt:lpstr>
      <vt:lpstr>'Calcul refroidissement'!Qrecycl_rep</vt:lpstr>
      <vt:lpstr>Qrecycl_rep</vt:lpstr>
      <vt:lpstr>'Calcul refroidissement'!Qrecycl_souf</vt:lpstr>
      <vt:lpstr>Qrecycl_souf</vt:lpstr>
      <vt:lpstr>qrecycle_fr_extr</vt:lpstr>
      <vt:lpstr>qrecycle_fr_int</vt:lpstr>
      <vt:lpstr>'Calcul refroidissement'!Qrep</vt:lpstr>
      <vt:lpstr>Qrep</vt:lpstr>
      <vt:lpstr>'Calcul refroidissement'!Qsouf</vt:lpstr>
      <vt:lpstr>Qsouf</vt:lpstr>
      <vt:lpstr>'Calcul refroidissement'!Rho_ref</vt:lpstr>
      <vt:lpstr>Rho_ref</vt:lpstr>
      <vt:lpstr>Statut_ch</vt:lpstr>
      <vt:lpstr>Statut_fr</vt:lpstr>
      <vt:lpstr>Statuts_ch</vt:lpstr>
      <vt:lpstr>Statuts_fr</vt:lpstr>
      <vt:lpstr>Statuts_VS</vt:lpstr>
      <vt:lpstr>'Calcul refroidissement'!T_ref</vt:lpstr>
      <vt:lpstr>T_ref</vt:lpstr>
      <vt:lpstr>'Calcul refroidissement'!Wrep</vt:lpstr>
      <vt:lpstr>Wrep</vt:lpstr>
      <vt:lpstr>'Calcul refroidissement'!Wsouf</vt:lpstr>
      <vt:lpstr>Wsouf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2023-02-27T08:42:56Z</dcterms:modified>
</cp:coreProperties>
</file>