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01_QC1\09-Thermique\2 - Batiment Neuf\1_RT 2012\1- Application RT 2012\1-Titre V\3-Systèmes\Arrêté Titre V système RT 2012 - Récupération sur eaux grises\"/>
    </mc:Choice>
  </mc:AlternateContent>
  <bookViews>
    <workbookView xWindow="0" yWindow="0" windowWidth="21555" windowHeight="8085" tabRatio="675"/>
  </bookViews>
  <sheets>
    <sheet name="TITREV" sheetId="3" r:id="rId1"/>
    <sheet name="ELEMENTS" sheetId="7" state="hidden" r:id="rId2"/>
    <sheet name="CALCULS Gain" sheetId="5" state="hidden" r:id="rId3"/>
  </sheets>
  <definedNames>
    <definedName name="a">'CALCULS Gain'!$C$9</definedName>
    <definedName name="Alt">TITREV!#REF!</definedName>
    <definedName name="App_douche">TITREV!#REF!</definedName>
    <definedName name="App_grande">TITREV!#REF!</definedName>
    <definedName name="App_sabot">TITREV!#REF!</definedName>
    <definedName name="App_standard">TITREV!#REF!</definedName>
    <definedName name="Ccertif">'CALCULS Gain'!#REF!</definedName>
    <definedName name="Cdéph">'CALCULS Gain'!$C$24</definedName>
    <definedName name="Cfois">'CALCULS Gain'!#REF!</definedName>
    <definedName name="Corré">'CALCULS Gain'!$C$27</definedName>
    <definedName name="Csim_pompe">'CALCULS Gain'!#REF!</definedName>
    <definedName name="Csimultanéité">'CALCULS Gain'!$C$25</definedName>
    <definedName name="Ctrans">TITREV!$D$29</definedName>
    <definedName name="Cw">'CALCULS Gain'!$C$3</definedName>
    <definedName name="Ddéph">'CALCULS Gain'!$C$24</definedName>
    <definedName name="Eff_nom">TITREV!$D$31</definedName>
    <definedName name="Eff_recup">'CALCULS Gain'!$C$19</definedName>
    <definedName name="Em_melangeur">TITREV!#REF!</definedName>
    <definedName name="Em_mitigeur">TITREV!#REF!</definedName>
    <definedName name="Em_temporisateur">TITREV!#REF!</definedName>
    <definedName name="Energie">TITREV!$D$35</definedName>
    <definedName name="F_occ">'CALCULS Gain'!$C$12</definedName>
    <definedName name="F_paa">'CALCULS Gain'!$C$21</definedName>
    <definedName name="F_pam">'CALCULS Gain'!$C$22</definedName>
    <definedName name="F_pav">'CALCULS Gain'!$C$23</definedName>
    <definedName name="Fpam_hvc">ELEMENTS!$G$17</definedName>
    <definedName name="Fpam_vc">ELEMENTS!$G$16</definedName>
    <definedName name="Fpav_vc_hvc">ELEMENTS!$G$20</definedName>
    <definedName name="Gain">'CALCULS Gain'!$C$28</definedName>
    <definedName name="gain_app">ELEMENTS!$G$7</definedName>
    <definedName name="gain_em">ELEMENTS!$G$13</definedName>
    <definedName name="Laval">TITREV!$D$24</definedName>
    <definedName name="Lhvc">TITREV!$D$23</definedName>
    <definedName name="Lvc">TITREV!$D$22</definedName>
    <definedName name="N_certif">'CALCULS Gain'!$C$16</definedName>
    <definedName name="Napp_pompe">TITREV!#REF!</definedName>
    <definedName name="Napp_récupérateur">TITREV!$D$20</definedName>
    <definedName name="Nb">TITREV!$D$15</definedName>
    <definedName name="Nu">'CALCULS Gain'!$C$10</definedName>
    <definedName name="P">'CALCULS Gain'!$C$20</definedName>
    <definedName name="Prelevage">'CALCULS Gain'!$C$31</definedName>
    <definedName name="Qrelevage">'CALCULS Gain'!$C$32</definedName>
    <definedName name="Qw_base">'CALCULS Gain'!$C$13</definedName>
    <definedName name="Qw_hebdo">'CALCULS Gain'!$C$11</definedName>
    <definedName name="Qw_hebdo_corrigé">'CALCULS Gain'!#REF!</definedName>
    <definedName name="Rpn">'CALCULS Gain'!$C$26</definedName>
    <definedName name="S_nonDesservie">TITREV!#REF!</definedName>
    <definedName name="SHON">TITREV!$D$18</definedName>
    <definedName name="SHON_sre">TITREV!$D$17</definedName>
    <definedName name="statut_Ctrans">TITREV!$D$28</definedName>
    <definedName name="statut_Eff_nom">TITREV!$D$30</definedName>
    <definedName name="SU">TITREV!$D$16</definedName>
    <definedName name="SU_sre">TITREV!$D$17</definedName>
    <definedName name="Tévac">'CALCULS Gain'!#REF!</definedName>
    <definedName name="Usage">TITREV!$D$13</definedName>
    <definedName name="_xlnm.Print_Area" localSheetId="0">TITREV!$B$2:$G$47</definedName>
    <definedName name="zone1">TITREV!$D$9</definedName>
    <definedName name="θef">'CALCULS Gain'!$C$6</definedName>
    <definedName name="θuw">'CALCULS Gain'!$C$5</definedName>
    <definedName name="ρw">'CALCULS Gain'!$C$4</definedName>
  </definedNames>
  <calcPr calcId="162913"/>
</workbook>
</file>

<file path=xl/calcChain.xml><?xml version="1.0" encoding="utf-8"?>
<calcChain xmlns="http://schemas.openxmlformats.org/spreadsheetml/2006/main">
  <c r="C24" i="5" l="1"/>
  <c r="M15" i="7"/>
  <c r="C22" i="5"/>
  <c r="C16" i="5"/>
  <c r="C19" i="5" s="1"/>
  <c r="C15" i="3"/>
  <c r="C25" i="5"/>
  <c r="G30" i="7" s="1"/>
  <c r="L16" i="7"/>
  <c r="M16" i="7"/>
  <c r="L15" i="7"/>
  <c r="C20" i="5"/>
  <c r="C12" i="5"/>
  <c r="C9" i="5"/>
  <c r="L28" i="7"/>
  <c r="L27" i="7"/>
  <c r="G31" i="7"/>
  <c r="C31" i="5"/>
  <c r="M8" i="7"/>
  <c r="N8" i="7"/>
  <c r="M7" i="7"/>
  <c r="N7" i="7"/>
  <c r="M11" i="7"/>
  <c r="N11" i="7"/>
  <c r="M9" i="7"/>
  <c r="N9" i="7"/>
  <c r="L24" i="7"/>
  <c r="L25" i="7"/>
  <c r="M5" i="7"/>
  <c r="N5" i="7"/>
  <c r="M4" i="7"/>
  <c r="N4" i="7"/>
  <c r="M3" i="7"/>
  <c r="C36" i="3"/>
  <c r="C27" i="5"/>
  <c r="D9" i="3"/>
  <c r="L18" i="7"/>
  <c r="L19" i="7"/>
  <c r="L20" i="7"/>
  <c r="C10" i="5"/>
  <c r="L21" i="7"/>
  <c r="L22" i="7"/>
  <c r="L23" i="7"/>
  <c r="L26" i="7"/>
  <c r="L17" i="7"/>
  <c r="D8" i="7"/>
  <c r="D13" i="7"/>
  <c r="D15" i="7"/>
  <c r="D22" i="7"/>
  <c r="D23" i="7"/>
  <c r="D33" i="7"/>
  <c r="D37" i="7"/>
  <c r="D69" i="7"/>
  <c r="D86" i="7"/>
  <c r="D106" i="7"/>
  <c r="D6" i="7"/>
  <c r="D105" i="7"/>
  <c r="D11" i="7"/>
  <c r="D104" i="7"/>
  <c r="D19" i="7"/>
  <c r="D103" i="7"/>
  <c r="D59" i="7"/>
  <c r="D101" i="7"/>
  <c r="D10" i="7"/>
  <c r="D102" i="7"/>
  <c r="D7" i="7"/>
  <c r="D100" i="7"/>
  <c r="D30" i="7"/>
  <c r="C23" i="5"/>
  <c r="D87" i="7"/>
  <c r="D57" i="7"/>
  <c r="D39" i="7"/>
  <c r="D97" i="7"/>
  <c r="D89" i="7"/>
  <c r="D81" i="7"/>
  <c r="D71" i="7"/>
  <c r="D61" i="7"/>
  <c r="D47" i="7"/>
  <c r="D31" i="7"/>
  <c r="D91" i="7"/>
  <c r="D83" i="7"/>
  <c r="D73" i="7"/>
  <c r="D63" i="7"/>
  <c r="D51" i="7"/>
  <c r="D93" i="7"/>
  <c r="D75" i="7"/>
  <c r="D65" i="7"/>
  <c r="D55" i="7"/>
  <c r="D67" i="7"/>
  <c r="D96" i="7"/>
  <c r="D92" i="7"/>
  <c r="D88" i="7"/>
  <c r="D84" i="7"/>
  <c r="D80" i="7"/>
  <c r="D76" i="7"/>
  <c r="D72" i="7"/>
  <c r="D68" i="7"/>
  <c r="D64" i="7"/>
  <c r="D60" i="7"/>
  <c r="D56" i="7"/>
  <c r="D52" i="7"/>
  <c r="D48" i="7"/>
  <c r="D44" i="7"/>
  <c r="D40" i="7"/>
  <c r="D36" i="7"/>
  <c r="D32" i="7"/>
  <c r="D28" i="7"/>
  <c r="D24" i="7"/>
  <c r="D20" i="7"/>
  <c r="D16" i="7"/>
  <c r="D12" i="7"/>
  <c r="D4" i="7"/>
  <c r="D53" i="7"/>
  <c r="D45" i="7"/>
  <c r="D41" i="7"/>
  <c r="D29" i="7"/>
  <c r="D25" i="7"/>
  <c r="D21" i="7"/>
  <c r="D17" i="7"/>
  <c r="D9" i="7"/>
  <c r="D5" i="7"/>
  <c r="D85" i="7"/>
  <c r="D77" i="7"/>
  <c r="D49" i="7"/>
  <c r="D98" i="7"/>
  <c r="D94" i="7"/>
  <c r="D90" i="7"/>
  <c r="D82" i="7"/>
  <c r="D78" i="7"/>
  <c r="D74" i="7"/>
  <c r="D70" i="7"/>
  <c r="D66" i="7"/>
  <c r="D62" i="7"/>
  <c r="D58" i="7"/>
  <c r="D54" i="7"/>
  <c r="D50" i="7"/>
  <c r="D46" i="7"/>
  <c r="D42" i="7"/>
  <c r="D38" i="7"/>
  <c r="D34" i="7"/>
  <c r="D26" i="7"/>
  <c r="D18" i="7"/>
  <c r="D14" i="7"/>
  <c r="D43" i="7"/>
  <c r="D35" i="7"/>
  <c r="D27" i="7"/>
  <c r="N6" i="7"/>
  <c r="N10" i="7"/>
  <c r="D3" i="7"/>
  <c r="D2" i="7"/>
  <c r="D79" i="7"/>
  <c r="D95" i="7"/>
  <c r="C26" i="5"/>
  <c r="N3" i="7"/>
  <c r="C6" i="5"/>
  <c r="C21" i="5" s="1"/>
  <c r="C32" i="5" l="1"/>
  <c r="C11" i="5"/>
  <c r="C13" i="5" s="1"/>
  <c r="C28" i="5" l="1"/>
  <c r="D46" i="3" s="1"/>
  <c r="D45" i="3" l="1"/>
</calcChain>
</file>

<file path=xl/sharedStrings.xml><?xml version="1.0" encoding="utf-8"?>
<sst xmlns="http://schemas.openxmlformats.org/spreadsheetml/2006/main" count="296" uniqueCount="147">
  <si>
    <t>Tef</t>
  </si>
  <si>
    <t>-</t>
  </si>
  <si>
    <t>°C</t>
  </si>
  <si>
    <t>Nu_gr,em-e</t>
  </si>
  <si>
    <t>Cw</t>
  </si>
  <si>
    <t>Wh/kg.K</t>
  </si>
  <si>
    <t>ρw</t>
  </si>
  <si>
    <t>kg/l</t>
  </si>
  <si>
    <t>θuw</t>
  </si>
  <si>
    <t>Données de sortie :</t>
  </si>
  <si>
    <t>Source Energie</t>
  </si>
  <si>
    <t>Générateur ECS</t>
  </si>
  <si>
    <t>Réseau</t>
  </si>
  <si>
    <t>Effet joule</t>
  </si>
  <si>
    <t>Bois</t>
  </si>
  <si>
    <t>Usage de la zone</t>
  </si>
  <si>
    <t>Caractéristiques du bâtiment :</t>
  </si>
  <si>
    <t>Situation géographique</t>
  </si>
  <si>
    <t>Données d'entrée</t>
  </si>
  <si>
    <t>Outils d'aide à l'application</t>
  </si>
  <si>
    <t>Département</t>
  </si>
  <si>
    <t>Zones</t>
  </si>
  <si>
    <t>H1c</t>
  </si>
  <si>
    <t>H1a</t>
  </si>
  <si>
    <t>H2d</t>
  </si>
  <si>
    <t>H3</t>
  </si>
  <si>
    <t>H1b</t>
  </si>
  <si>
    <t>H2c</t>
  </si>
  <si>
    <t>H2b</t>
  </si>
  <si>
    <t>2A</t>
  </si>
  <si>
    <t>2B</t>
  </si>
  <si>
    <t>H2a</t>
  </si>
  <si>
    <t>P</t>
  </si>
  <si>
    <t>Energie</t>
  </si>
  <si>
    <t>Corr(é)xRpn</t>
  </si>
  <si>
    <t>Ctep</t>
  </si>
  <si>
    <t>Rpn (70°C, charge 100 %, en %)</t>
  </si>
  <si>
    <t>Zone</t>
  </si>
  <si>
    <t>kWhEF/an</t>
  </si>
  <si>
    <t>GAIN</t>
  </si>
  <si>
    <t>%</t>
  </si>
  <si>
    <t>Rpn</t>
  </si>
  <si>
    <t>Saisir 100%</t>
  </si>
  <si>
    <t>Calcul du Gain</t>
  </si>
  <si>
    <t>Chauffe-eau thermodynamique</t>
  </si>
  <si>
    <t>Données eau froide</t>
  </si>
  <si>
    <t>L</t>
  </si>
  <si>
    <t>Nombre de maisons</t>
  </si>
  <si>
    <t>COP nominal</t>
  </si>
  <si>
    <t>Pourcentage</t>
  </si>
  <si>
    <t>Nombre de logements</t>
  </si>
  <si>
    <t>Maison(s) individuelle(s)</t>
  </si>
  <si>
    <t>Logements collectifs</t>
  </si>
  <si>
    <t>Pompe à Chaleur</t>
  </si>
  <si>
    <r>
      <rPr>
        <sz val="11"/>
        <color indexed="8"/>
        <rFont val="Calibri"/>
        <family val="2"/>
      </rPr>
      <t>η</t>
    </r>
    <r>
      <rPr>
        <sz val="6.6"/>
        <color indexed="8"/>
        <rFont val="Calibri"/>
        <family val="2"/>
      </rPr>
      <t>générateur</t>
    </r>
  </si>
  <si>
    <t>Nombre de chambres</t>
  </si>
  <si>
    <t>Nombre de lits</t>
  </si>
  <si>
    <t>Nombre de douches</t>
  </si>
  <si>
    <t>Nu</t>
  </si>
  <si>
    <t>a</t>
  </si>
  <si>
    <t>Calcul de Qw</t>
  </si>
  <si>
    <t>C_corré</t>
  </si>
  <si>
    <t>θef</t>
  </si>
  <si>
    <t>Fpam</t>
  </si>
  <si>
    <t>Calorifugé</t>
  </si>
  <si>
    <t>En VC</t>
  </si>
  <si>
    <t>Hors VC</t>
  </si>
  <si>
    <t>Interdit</t>
  </si>
  <si>
    <t>Non calo</t>
  </si>
  <si>
    <t>Tout type</t>
  </si>
  <si>
    <t>Corr(é)</t>
  </si>
  <si>
    <t>F_paa air ambiant</t>
  </si>
  <si>
    <t>F_pam amont</t>
  </si>
  <si>
    <t>F_pav aval</t>
  </si>
  <si>
    <t>P part ECS</t>
  </si>
  <si>
    <t>Récupérateur</t>
  </si>
  <si>
    <t>Economie générée par le récupérateur</t>
  </si>
  <si>
    <t>Valeur déclarée</t>
  </si>
  <si>
    <t>Valeur certifiée</t>
  </si>
  <si>
    <t>Niveau de certification</t>
  </si>
  <si>
    <t>HélioPAC</t>
  </si>
  <si>
    <t>rechercheh</t>
  </si>
  <si>
    <t>Type de bâtiment</t>
  </si>
  <si>
    <t>Qw hebdo</t>
  </si>
  <si>
    <t>WhEF/semaine</t>
  </si>
  <si>
    <t>Pgs</t>
  </si>
  <si>
    <t>Gaz condensation  accumulation individuelle</t>
  </si>
  <si>
    <t>Gaz condensation  accumulation collective</t>
  </si>
  <si>
    <t>Gaz condensation instantanée</t>
  </si>
  <si>
    <t>Longeurs moyennées des réseaux ECS du bâtiment</t>
  </si>
  <si>
    <t>Valeur par défaut</t>
  </si>
  <si>
    <t>Efficacité nominale du récupérateur Eff_nom en %</t>
  </si>
  <si>
    <t>Niveau de certif</t>
  </si>
  <si>
    <t>Niveau de certification du coefficient transitoire</t>
  </si>
  <si>
    <t>Niveau de certification de l'efficacité nominale</t>
  </si>
  <si>
    <t>Eff_recup pénalisée</t>
  </si>
  <si>
    <t>Cdéph</t>
  </si>
  <si>
    <t>Nombre d'appareils sanitaires connectés au récupérateur de chaleur</t>
  </si>
  <si>
    <t>Csimultanéité</t>
  </si>
  <si>
    <t>Calcul de Qrelevage</t>
  </si>
  <si>
    <t>Pompe de relevage</t>
  </si>
  <si>
    <t>Pompe nécessaire au fonctionnement du récupérateur</t>
  </si>
  <si>
    <t>Pas de pompe de relevage</t>
  </si>
  <si>
    <t>Puissance de pompe par défaut</t>
  </si>
  <si>
    <t>Puissance de pompe fabricant</t>
  </si>
  <si>
    <t>Prelevage</t>
  </si>
  <si>
    <t>kW</t>
  </si>
  <si>
    <t>Qrelevage</t>
  </si>
  <si>
    <t>kWhEP/an</t>
  </si>
  <si>
    <t>Hébergement</t>
  </si>
  <si>
    <t>Etablissement sanitaire avec hébergement – avec blanchisserie</t>
  </si>
  <si>
    <t>Etablissement sanitaire avec hébergement – sans blanchisserie</t>
  </si>
  <si>
    <t>Hôtel 1* sans blanchisserie</t>
  </si>
  <si>
    <t>Hôtel 1* avec blanchisserie</t>
  </si>
  <si>
    <t>Hôtel 2* sans blanchisserie</t>
  </si>
  <si>
    <t>Hôtel 2* avec blanchisserie</t>
  </si>
  <si>
    <t>Hôtel 3* sans blanchisserie</t>
  </si>
  <si>
    <t>Hôtel 3* avec blanchisserie</t>
  </si>
  <si>
    <t>Hôtel 4* et GC sans blanchisserie</t>
  </si>
  <si>
    <t>Hôtel 4* et GC avec blanchisserie</t>
  </si>
  <si>
    <t>Etablissements sportifs</t>
  </si>
  <si>
    <t>Enseignement ou zone d'hébergement associée</t>
  </si>
  <si>
    <t>Autres</t>
  </si>
  <si>
    <t>F_occ</t>
  </si>
  <si>
    <t>semaines</t>
  </si>
  <si>
    <t>Qw_base</t>
  </si>
  <si>
    <t>SHON desservie par le système de récupération
d'énergie sur eaux grises (m²)</t>
  </si>
  <si>
    <t>SHON totale (m²)</t>
  </si>
  <si>
    <t>En AMONT* du récupérateur et EN volume chauffé</t>
  </si>
  <si>
    <t>En AMONT* du récupérateur et HORS volume chauffé</t>
  </si>
  <si>
    <t>En AVAL** du récupérateur</t>
  </si>
  <si>
    <t>* Entre la douche et le récupérateur</t>
  </si>
  <si>
    <t>** Eau préchauffée, entre le récupérateur et le ballon et/ou le mitigeur</t>
  </si>
  <si>
    <t>*** Utilisé seulement si "Puissance de pompe fabricant" est sélectionné</t>
  </si>
  <si>
    <t>Puissance de la pompe de relevage (kW) ***</t>
  </si>
  <si>
    <t>Surface utile totale (m²)</t>
  </si>
  <si>
    <t>Coefficient transitoire Ctrans</t>
  </si>
  <si>
    <t>Niveau de Certification</t>
  </si>
  <si>
    <t>Valeur justifiée</t>
  </si>
  <si>
    <t>Nomenclature</t>
  </si>
  <si>
    <t>Cellules dont les valeurs sont  à renseigner</t>
  </si>
  <si>
    <t>Cellules à ne pas modifier</t>
  </si>
  <si>
    <t>Cellule de résultat du Titre V</t>
  </si>
  <si>
    <t>Température de l'eau froide (Fichier météo RTex)</t>
  </si>
  <si>
    <t>Fpav</t>
  </si>
  <si>
    <t>Arrêté du 23 octobre 2017 relatif à l’agrément des modalités de prise en compte des systèmes de récupération instantanée de chaleur sur eaux grises dans la réglementation thermique pour les bâtiments existants</t>
  </si>
  <si>
    <t xml:space="preserve"> Version 1 : Mise en ligne le 06/04/2018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</si>
</sst>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.000"/>
    <numFmt numFmtId="165" formatCode="0.00&quot; kWhEP/m²shon.an&quot;"/>
    <numFmt numFmtId="166" formatCode="#,#00&quot; kWhEF&quot;"/>
    <numFmt numFmtId="167" formatCode="0.0%"/>
    <numFmt numFmtId="168" formatCode="0&quot;m&quot;"/>
    <numFmt numFmtId="169" formatCode="0.0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6.6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6"/>
      <color theme="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18359"/>
        <bgColor indexed="64"/>
      </patternFill>
    </fill>
    <fill>
      <patternFill patternType="solid">
        <fgColor rgb="FF69FFE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6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</borders>
  <cellStyleXfs count="48">
    <xf numFmtId="0" fontId="0" fillId="0" borderId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29" fillId="13" borderId="0" applyNumberFormat="0" applyBorder="0" applyAlignment="0" applyProtection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2" borderId="0" applyNumberFormat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7" borderId="29" applyNumberFormat="0" applyAlignment="0" applyProtection="0"/>
    <xf numFmtId="0" fontId="24" fillId="0" borderId="31" applyNumberFormat="0" applyFill="0" applyAlignment="0" applyProtection="0"/>
    <xf numFmtId="0" fontId="21" fillId="6" borderId="29" applyNumberFormat="0" applyAlignment="0" applyProtection="0"/>
    <xf numFmtId="0" fontId="19" fillId="4" borderId="0" applyNumberFormat="0" applyBorder="0" applyAlignment="0" applyProtection="0"/>
    <xf numFmtId="43" fontId="13" fillId="0" borderId="0" applyFont="0" applyFill="0" applyBorder="0" applyAlignment="0" applyProtection="0"/>
    <xf numFmtId="0" fontId="20" fillId="5" borderId="0" applyNumberFormat="0" applyBorder="0" applyAlignment="0" applyProtection="0"/>
    <xf numFmtId="0" fontId="2" fillId="0" borderId="0"/>
    <xf numFmtId="0" fontId="1" fillId="0" borderId="0"/>
    <xf numFmtId="0" fontId="30" fillId="0" borderId="0"/>
    <xf numFmtId="0" fontId="3" fillId="0" borderId="0"/>
    <xf numFmtId="0" fontId="13" fillId="9" borderId="33" applyNumberFormat="0" applyFont="0" applyAlignment="0" applyProtection="0"/>
    <xf numFmtId="9" fontId="13" fillId="0" borderId="0" applyFont="0" applyFill="0" applyBorder="0" applyAlignment="0" applyProtection="0"/>
    <xf numFmtId="0" fontId="18" fillId="3" borderId="0" applyNumberFormat="0" applyBorder="0" applyAlignment="0" applyProtection="0"/>
    <xf numFmtId="0" fontId="22" fillId="7" borderId="30" applyNumberFormat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6" applyNumberFormat="0" applyFill="0" applyAlignment="0" applyProtection="0"/>
    <xf numFmtId="0" fontId="16" fillId="0" borderId="27" applyNumberFormat="0" applyFill="0" applyAlignment="0" applyProtection="0"/>
    <xf numFmtId="0" fontId="17" fillId="0" borderId="2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34" applyNumberFormat="0" applyFill="0" applyAlignment="0" applyProtection="0"/>
    <xf numFmtId="0" fontId="25" fillId="8" borderId="32" applyNumberFormat="0" applyAlignment="0" applyProtection="0"/>
  </cellStyleXfs>
  <cellXfs count="197">
    <xf numFmtId="0" fontId="0" fillId="0" borderId="0" xfId="0"/>
    <xf numFmtId="0" fontId="0" fillId="0" borderId="0" xfId="0"/>
    <xf numFmtId="0" fontId="0" fillId="0" borderId="1" xfId="0" applyBorder="1"/>
    <xf numFmtId="0" fontId="3" fillId="0" borderId="1" xfId="35" applyNumberFormat="1" applyFont="1" applyFill="1" applyBorder="1" applyAlignment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/>
    <xf numFmtId="2" fontId="0" fillId="0" borderId="1" xfId="0" applyNumberFormat="1" applyBorder="1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0" xfId="35" applyFont="1" applyFill="1" applyBorder="1" applyAlignment="1">
      <alignment horizontal="center" vertical="center"/>
    </xf>
    <xf numFmtId="0" fontId="3" fillId="0" borderId="0" xfId="35" applyFont="1" applyFill="1" applyBorder="1" applyAlignment="1">
      <alignment horizontal="center" vertical="center" wrapText="1"/>
    </xf>
    <xf numFmtId="0" fontId="3" fillId="34" borderId="1" xfId="35" applyFont="1" applyFill="1" applyBorder="1" applyAlignment="1">
      <alignment horizontal="center" vertical="center"/>
    </xf>
    <xf numFmtId="0" fontId="0" fillId="34" borderId="1" xfId="0" applyFill="1" applyBorder="1" applyAlignment="1">
      <alignment horizontal="center"/>
    </xf>
    <xf numFmtId="167" fontId="13" fillId="0" borderId="1" xfId="37" applyNumberFormat="1" applyFont="1" applyBorder="1"/>
    <xf numFmtId="0" fontId="0" fillId="0" borderId="1" xfId="0" applyFont="1" applyBorder="1" applyAlignment="1">
      <alignment horizontal="center" vertical="center"/>
    </xf>
    <xf numFmtId="0" fontId="0" fillId="34" borderId="1" xfId="0" applyFill="1" applyBorder="1" applyAlignment="1">
      <alignment horizontal="center"/>
    </xf>
    <xf numFmtId="10" fontId="13" fillId="0" borderId="1" xfId="37" applyNumberFormat="1" applyFont="1" applyFill="1" applyBorder="1"/>
    <xf numFmtId="0" fontId="0" fillId="34" borderId="1" xfId="0" applyFill="1" applyBorder="1" applyAlignment="1"/>
    <xf numFmtId="0" fontId="31" fillId="34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0" fontId="2" fillId="35" borderId="1" xfId="0" applyNumberFormat="1" applyFont="1" applyFill="1" applyBorder="1" applyAlignment="1">
      <alignment horizontal="center"/>
    </xf>
    <xf numFmtId="10" fontId="7" fillId="35" borderId="1" xfId="0" applyNumberFormat="1" applyFont="1" applyFill="1" applyBorder="1" applyAlignment="1">
      <alignment horizontal="center"/>
    </xf>
    <xf numFmtId="0" fontId="0" fillId="34" borderId="1" xfId="0" applyFill="1" applyBorder="1" applyAlignment="1">
      <alignment horizontal="center"/>
    </xf>
    <xf numFmtId="0" fontId="11" fillId="36" borderId="0" xfId="0" applyFont="1" applyFill="1" applyBorder="1" applyAlignment="1" applyProtection="1">
      <alignment horizontal="left" vertical="center" wrapText="1"/>
    </xf>
    <xf numFmtId="0" fontId="11" fillId="36" borderId="2" xfId="0" applyFont="1" applyFill="1" applyBorder="1" applyAlignment="1" applyProtection="1">
      <alignment horizontal="left" vertical="center" wrapText="1"/>
    </xf>
    <xf numFmtId="0" fontId="32" fillId="37" borderId="3" xfId="0" applyFont="1" applyFill="1" applyBorder="1" applyAlignment="1" applyProtection="1">
      <alignment vertical="center"/>
    </xf>
    <xf numFmtId="0" fontId="11" fillId="37" borderId="4" xfId="0" applyFont="1" applyFill="1" applyBorder="1" applyAlignment="1" applyProtection="1">
      <alignment vertical="center"/>
    </xf>
    <xf numFmtId="0" fontId="11" fillId="36" borderId="4" xfId="0" applyFont="1" applyFill="1" applyBorder="1" applyAlignment="1" applyProtection="1">
      <alignment vertical="center"/>
    </xf>
    <xf numFmtId="0" fontId="2" fillId="34" borderId="1" xfId="0" applyFont="1" applyFill="1" applyBorder="1" applyAlignment="1">
      <alignment horizontal="center" wrapText="1"/>
    </xf>
    <xf numFmtId="0" fontId="11" fillId="36" borderId="3" xfId="0" applyFont="1" applyFill="1" applyBorder="1" applyProtection="1"/>
    <xf numFmtId="0" fontId="11" fillId="36" borderId="5" xfId="0" applyFont="1" applyFill="1" applyBorder="1" applyProtection="1"/>
    <xf numFmtId="0" fontId="0" fillId="0" borderId="0" xfId="0" applyFont="1" applyFill="1"/>
    <xf numFmtId="11" fontId="3" fillId="0" borderId="1" xfId="35" applyNumberFormat="1" applyFont="1" applyFill="1" applyBorder="1" applyAlignment="1">
      <alignment horizontal="center" vertical="center" wrapText="1"/>
    </xf>
    <xf numFmtId="1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9" fontId="33" fillId="0" borderId="1" xfId="0" applyNumberFormat="1" applyFont="1" applyFill="1" applyBorder="1" applyAlignment="1">
      <alignment horizontal="center" vertical="center"/>
    </xf>
    <xf numFmtId="10" fontId="13" fillId="0" borderId="1" xfId="37" applyNumberFormat="1" applyFont="1" applyFill="1" applyBorder="1" applyAlignment="1">
      <alignment horizontal="center" vertical="center"/>
    </xf>
    <xf numFmtId="10" fontId="13" fillId="0" borderId="1" xfId="37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left" vertical="center"/>
    </xf>
    <xf numFmtId="0" fontId="2" fillId="34" borderId="1" xfId="0" applyFont="1" applyFill="1" applyBorder="1" applyAlignment="1">
      <alignment vertical="center"/>
    </xf>
    <xf numFmtId="0" fontId="3" fillId="34" borderId="1" xfId="35" applyFont="1" applyFill="1" applyBorder="1" applyAlignment="1">
      <alignment horizontal="center" vertical="center" wrapText="1"/>
    </xf>
    <xf numFmtId="0" fontId="11" fillId="36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Border="1"/>
    <xf numFmtId="167" fontId="13" fillId="0" borderId="1" xfId="37" applyNumberFormat="1" applyFont="1" applyFill="1" applyBorder="1" applyAlignment="1">
      <alignment horizontal="center" vertical="center"/>
    </xf>
    <xf numFmtId="0" fontId="33" fillId="0" borderId="0" xfId="0" applyFont="1"/>
    <xf numFmtId="0" fontId="33" fillId="0" borderId="1" xfId="0" applyFont="1" applyBorder="1"/>
    <xf numFmtId="0" fontId="33" fillId="34" borderId="1" xfId="0" applyFont="1" applyFill="1" applyBorder="1" applyAlignment="1"/>
    <xf numFmtId="9" fontId="33" fillId="34" borderId="1" xfId="37" applyFont="1" applyFill="1" applyBorder="1" applyAlignment="1">
      <alignment horizontal="center"/>
    </xf>
    <xf numFmtId="0" fontId="33" fillId="0" borderId="1" xfId="0" applyFont="1" applyBorder="1" applyAlignment="1">
      <alignment horizontal="left"/>
    </xf>
    <xf numFmtId="9" fontId="33" fillId="0" borderId="1" xfId="37" applyFont="1" applyFill="1" applyBorder="1"/>
    <xf numFmtId="9" fontId="33" fillId="0" borderId="1" xfId="37" applyFont="1" applyBorder="1"/>
    <xf numFmtId="1" fontId="33" fillId="0" borderId="1" xfId="0" applyNumberFormat="1" applyFont="1" applyBorder="1" applyAlignment="1">
      <alignment horizontal="center" vertical="center"/>
    </xf>
    <xf numFmtId="0" fontId="33" fillId="0" borderId="1" xfId="0" applyFont="1" applyFill="1" applyBorder="1"/>
    <xf numFmtId="0" fontId="32" fillId="37" borderId="6" xfId="0" applyFont="1" applyFill="1" applyBorder="1" applyAlignment="1" applyProtection="1">
      <alignment vertical="center"/>
    </xf>
    <xf numFmtId="0" fontId="11" fillId="37" borderId="7" xfId="0" applyFont="1" applyFill="1" applyBorder="1" applyAlignment="1" applyProtection="1">
      <alignment vertical="center"/>
    </xf>
    <xf numFmtId="0" fontId="11" fillId="36" borderId="8" xfId="0" applyFont="1" applyFill="1" applyBorder="1" applyAlignment="1" applyProtection="1">
      <alignment vertical="center"/>
    </xf>
    <xf numFmtId="0" fontId="36" fillId="2" borderId="0" xfId="0" applyFont="1" applyFill="1" applyBorder="1" applyAlignment="1" applyProtection="1">
      <alignment horizontal="left"/>
    </xf>
    <xf numFmtId="0" fontId="11" fillId="37" borderId="9" xfId="0" applyFont="1" applyFill="1" applyBorder="1" applyAlignment="1" applyProtection="1">
      <alignment horizontal="left" vertical="center"/>
    </xf>
    <xf numFmtId="0" fontId="32" fillId="37" borderId="0" xfId="0" applyFont="1" applyFill="1" applyBorder="1" applyAlignment="1" applyProtection="1">
      <alignment horizontal="left" vertical="center"/>
    </xf>
    <xf numFmtId="0" fontId="11" fillId="37" borderId="0" xfId="0" applyFont="1" applyFill="1" applyBorder="1" applyAlignment="1" applyProtection="1">
      <alignment horizontal="left" vertical="center"/>
    </xf>
    <xf numFmtId="0" fontId="11" fillId="36" borderId="2" xfId="0" applyFont="1" applyFill="1" applyBorder="1" applyAlignment="1" applyProtection="1">
      <alignment horizontal="left"/>
    </xf>
    <xf numFmtId="0" fontId="8" fillId="38" borderId="0" xfId="33" applyFont="1" applyFill="1" applyBorder="1" applyAlignment="1" applyProtection="1">
      <alignment vertical="center" wrapText="1"/>
    </xf>
    <xf numFmtId="0" fontId="8" fillId="38" borderId="4" xfId="33" applyFont="1" applyFill="1" applyBorder="1" applyAlignment="1" applyProtection="1">
      <alignment vertical="center" wrapText="1"/>
    </xf>
    <xf numFmtId="9" fontId="13" fillId="0" borderId="1" xfId="37" applyFont="1" applyFill="1" applyBorder="1"/>
    <xf numFmtId="0" fontId="37" fillId="36" borderId="4" xfId="0" applyFont="1" applyFill="1" applyBorder="1" applyAlignment="1" applyProtection="1">
      <alignment vertical="center" wrapText="1"/>
    </xf>
    <xf numFmtId="0" fontId="38" fillId="0" borderId="1" xfId="0" applyFont="1" applyFill="1" applyBorder="1" applyAlignment="1">
      <alignment horizontal="left" vertical="center"/>
    </xf>
    <xf numFmtId="169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11" fillId="36" borderId="10" xfId="0" applyFont="1" applyFill="1" applyBorder="1" applyAlignment="1" applyProtection="1">
      <alignment vertical="center" wrapText="1"/>
    </xf>
    <xf numFmtId="0" fontId="13" fillId="0" borderId="1" xfId="37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0" fillId="0" borderId="0" xfId="0" applyNumberFormat="1"/>
    <xf numFmtId="0" fontId="13" fillId="0" borderId="1" xfId="37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3" fillId="0" borderId="0" xfId="3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4" fontId="13" fillId="0" borderId="12" xfId="3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37" fillId="36" borderId="4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0" fontId="13" fillId="0" borderId="0" xfId="37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164" fontId="13" fillId="0" borderId="1" xfId="37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3" fillId="34" borderId="1" xfId="0" applyFont="1" applyFill="1" applyBorder="1" applyAlignment="1">
      <alignment horizontal="center"/>
    </xf>
    <xf numFmtId="0" fontId="33" fillId="34" borderId="1" xfId="0" applyFont="1" applyFill="1" applyBorder="1" applyAlignment="1">
      <alignment horizontal="center" vertical="center"/>
    </xf>
    <xf numFmtId="2" fontId="33" fillId="0" borderId="1" xfId="0" applyNumberFormat="1" applyFont="1" applyBorder="1"/>
    <xf numFmtId="0" fontId="33" fillId="0" borderId="0" xfId="0" applyFont="1" applyFill="1" applyBorder="1"/>
    <xf numFmtId="0" fontId="0" fillId="0" borderId="0" xfId="0" applyFill="1" applyBorder="1"/>
    <xf numFmtId="0" fontId="33" fillId="0" borderId="0" xfId="0" applyFont="1" applyFill="1" applyBorder="1" applyAlignment="1">
      <alignment horizontal="center"/>
    </xf>
    <xf numFmtId="9" fontId="33" fillId="0" borderId="0" xfId="37" applyFont="1" applyFill="1" applyBorder="1"/>
    <xf numFmtId="9" fontId="13" fillId="0" borderId="0" xfId="37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7" fontId="13" fillId="0" borderId="0" xfId="37" applyNumberFormat="1" applyFont="1" applyFill="1" applyBorder="1"/>
    <xf numFmtId="2" fontId="13" fillId="0" borderId="0" xfId="37" applyNumberFormat="1" applyFont="1" applyFill="1" applyBorder="1"/>
    <xf numFmtId="9" fontId="13" fillId="0" borderId="0" xfId="37" applyFont="1" applyFill="1" applyBorder="1"/>
    <xf numFmtId="9" fontId="13" fillId="0" borderId="0" xfId="37" applyFont="1" applyFill="1" applyBorder="1" applyAlignment="1"/>
    <xf numFmtId="167" fontId="13" fillId="0" borderId="0" xfId="37" applyNumberFormat="1" applyFont="1" applyFill="1" applyBorder="1" applyAlignment="1"/>
    <xf numFmtId="10" fontId="13" fillId="0" borderId="0" xfId="37" applyNumberFormat="1" applyFont="1" applyFill="1" applyBorder="1"/>
    <xf numFmtId="2" fontId="0" fillId="0" borderId="1" xfId="0" applyNumberFormat="1" applyBorder="1" applyAlignment="1">
      <alignment horizontal="center" vertical="center"/>
    </xf>
    <xf numFmtId="164" fontId="13" fillId="0" borderId="1" xfId="37" applyNumberFormat="1" applyFont="1" applyBorder="1" applyAlignment="1">
      <alignment horizontal="center" vertical="center"/>
    </xf>
    <xf numFmtId="0" fontId="33" fillId="0" borderId="0" xfId="37" applyNumberFormat="1" applyFont="1" applyFill="1" applyBorder="1" applyAlignment="1">
      <alignment horizontal="center" vertical="center"/>
    </xf>
    <xf numFmtId="0" fontId="11" fillId="39" borderId="3" xfId="0" applyFont="1" applyFill="1" applyBorder="1" applyAlignment="1" applyProtection="1">
      <alignment vertical="center"/>
    </xf>
    <xf numFmtId="0" fontId="11" fillId="39" borderId="0" xfId="0" applyFont="1" applyFill="1" applyBorder="1" applyAlignment="1" applyProtection="1">
      <alignment horizontal="left" vertical="center"/>
    </xf>
    <xf numFmtId="0" fontId="11" fillId="39" borderId="3" xfId="0" applyFont="1" applyFill="1" applyBorder="1" applyProtection="1"/>
    <xf numFmtId="0" fontId="36" fillId="39" borderId="3" xfId="0" applyFont="1" applyFill="1" applyBorder="1" applyProtection="1"/>
    <xf numFmtId="0" fontId="37" fillId="39" borderId="5" xfId="0" applyFont="1" applyFill="1" applyBorder="1" applyProtection="1"/>
    <xf numFmtId="0" fontId="37" fillId="39" borderId="2" xfId="0" applyFont="1" applyFill="1" applyBorder="1" applyAlignment="1" applyProtection="1">
      <alignment horizontal="left"/>
    </xf>
    <xf numFmtId="0" fontId="11" fillId="39" borderId="4" xfId="0" applyFont="1" applyFill="1" applyBorder="1" applyProtection="1"/>
    <xf numFmtId="0" fontId="37" fillId="39" borderId="8" xfId="0" applyFont="1" applyFill="1" applyBorder="1" applyProtection="1"/>
    <xf numFmtId="0" fontId="37" fillId="39" borderId="2" xfId="0" applyFont="1" applyFill="1" applyBorder="1" applyAlignment="1" applyProtection="1">
      <alignment horizontal="center"/>
    </xf>
    <xf numFmtId="168" fontId="11" fillId="36" borderId="2" xfId="0" applyNumberFormat="1" applyFont="1" applyFill="1" applyBorder="1" applyAlignment="1" applyProtection="1">
      <alignment horizontal="center" vertical="center"/>
    </xf>
    <xf numFmtId="0" fontId="11" fillId="36" borderId="0" xfId="0" applyFont="1" applyFill="1" applyBorder="1" applyAlignment="1" applyProtection="1">
      <alignment horizontal="center" vertical="center"/>
    </xf>
    <xf numFmtId="0" fontId="11" fillId="37" borderId="0" xfId="0" applyFont="1" applyFill="1" applyBorder="1" applyAlignment="1" applyProtection="1">
      <alignment horizontal="center" vertical="center"/>
    </xf>
    <xf numFmtId="167" fontId="11" fillId="42" borderId="1" xfId="0" applyNumberFormat="1" applyFont="1" applyFill="1" applyBorder="1" applyAlignment="1" applyProtection="1">
      <alignment horizontal="center" vertical="center"/>
      <protection locked="0"/>
    </xf>
    <xf numFmtId="0" fontId="11" fillId="42" borderId="1" xfId="0" applyNumberFormat="1" applyFont="1" applyFill="1" applyBorder="1" applyAlignment="1" applyProtection="1">
      <alignment horizontal="center" vertical="center"/>
      <protection locked="0"/>
    </xf>
    <xf numFmtId="0" fontId="37" fillId="40" borderId="1" xfId="37" applyNumberFormat="1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Border="1" applyAlignment="1" applyProtection="1">
      <alignment horizontal="center" vertical="center" wrapText="1"/>
    </xf>
    <xf numFmtId="165" fontId="11" fillId="45" borderId="35" xfId="0" applyNumberFormat="1" applyFont="1" applyFill="1" applyBorder="1" applyAlignment="1" applyProtection="1">
      <alignment horizontal="center" vertical="center"/>
    </xf>
    <xf numFmtId="165" fontId="11" fillId="45" borderId="36" xfId="0" applyNumberFormat="1" applyFont="1" applyFill="1" applyBorder="1" applyAlignment="1" applyProtection="1">
      <alignment horizontal="center" vertical="center"/>
    </xf>
    <xf numFmtId="165" fontId="11" fillId="45" borderId="37" xfId="0" applyNumberFormat="1" applyFont="1" applyFill="1" applyBorder="1" applyAlignment="1" applyProtection="1">
      <alignment horizontal="center" vertical="center"/>
    </xf>
    <xf numFmtId="0" fontId="11" fillId="39" borderId="0" xfId="0" applyFont="1" applyFill="1" applyBorder="1" applyAlignment="1" applyProtection="1">
      <alignment horizontal="center" vertical="center"/>
    </xf>
    <xf numFmtId="0" fontId="11" fillId="40" borderId="19" xfId="0" applyFont="1" applyFill="1" applyBorder="1" applyAlignment="1" applyProtection="1">
      <alignment vertical="center"/>
    </xf>
    <xf numFmtId="0" fontId="11" fillId="40" borderId="20" xfId="0" applyFont="1" applyFill="1" applyBorder="1" applyAlignment="1" applyProtection="1">
      <alignment vertical="center"/>
    </xf>
    <xf numFmtId="0" fontId="11" fillId="40" borderId="21" xfId="0" applyFont="1" applyFill="1" applyBorder="1" applyAlignment="1" applyProtection="1">
      <alignment vertical="center"/>
    </xf>
    <xf numFmtId="0" fontId="2" fillId="43" borderId="6" xfId="33" applyFont="1" applyFill="1" applyBorder="1" applyAlignment="1" applyProtection="1">
      <alignment horizontal="center" vertical="center" wrapText="1"/>
    </xf>
    <xf numFmtId="0" fontId="2" fillId="43" borderId="9" xfId="33" applyFont="1" applyFill="1" applyBorder="1" applyAlignment="1" applyProtection="1">
      <alignment horizontal="center" vertical="center" wrapText="1"/>
    </xf>
    <xf numFmtId="0" fontId="2" fillId="43" borderId="7" xfId="33" applyFont="1" applyFill="1" applyBorder="1" applyAlignment="1" applyProtection="1">
      <alignment horizontal="center" vertical="center" wrapText="1"/>
    </xf>
    <xf numFmtId="0" fontId="9" fillId="43" borderId="5" xfId="33" applyFont="1" applyFill="1" applyBorder="1" applyAlignment="1" applyProtection="1">
      <alignment horizontal="left" vertical="center" wrapText="1"/>
    </xf>
    <xf numFmtId="0" fontId="9" fillId="43" borderId="2" xfId="33" applyFont="1" applyFill="1" applyBorder="1" applyAlignment="1" applyProtection="1">
      <alignment horizontal="left" vertical="center" wrapText="1"/>
    </xf>
    <xf numFmtId="0" fontId="9" fillId="43" borderId="8" xfId="33" applyFont="1" applyFill="1" applyBorder="1" applyAlignment="1" applyProtection="1">
      <alignment horizontal="left" vertical="center" wrapText="1"/>
    </xf>
    <xf numFmtId="0" fontId="12" fillId="38" borderId="3" xfId="33" applyFont="1" applyFill="1" applyBorder="1" applyAlignment="1" applyProtection="1">
      <alignment horizontal="center" vertical="center" wrapText="1"/>
    </xf>
    <xf numFmtId="0" fontId="12" fillId="38" borderId="0" xfId="33" applyFont="1" applyFill="1" applyBorder="1" applyAlignment="1" applyProtection="1">
      <alignment horizontal="center" vertical="center" wrapText="1"/>
    </xf>
    <xf numFmtId="0" fontId="11" fillId="37" borderId="9" xfId="0" applyFont="1" applyFill="1" applyBorder="1" applyAlignment="1" applyProtection="1">
      <alignment horizontal="center" vertical="center"/>
    </xf>
    <xf numFmtId="168" fontId="11" fillId="36" borderId="22" xfId="0" applyNumberFormat="1" applyFont="1" applyFill="1" applyBorder="1" applyAlignment="1" applyProtection="1">
      <alignment horizontal="center" vertical="center"/>
    </xf>
    <xf numFmtId="0" fontId="11" fillId="36" borderId="23" xfId="0" applyFont="1" applyFill="1" applyBorder="1" applyAlignment="1" applyProtection="1">
      <alignment horizontal="center" vertical="center"/>
    </xf>
    <xf numFmtId="0" fontId="11" fillId="39" borderId="0" xfId="0" applyFont="1" applyFill="1" applyBorder="1" applyAlignment="1" applyProtection="1">
      <alignment horizontal="left" vertical="center" wrapText="1"/>
    </xf>
    <xf numFmtId="166" fontId="11" fillId="41" borderId="14" xfId="0" applyNumberFormat="1" applyFont="1" applyFill="1" applyBorder="1" applyAlignment="1" applyProtection="1">
      <alignment horizontal="center" vertical="center"/>
    </xf>
    <xf numFmtId="166" fontId="11" fillId="41" borderId="15" xfId="0" applyNumberFormat="1" applyFont="1" applyFill="1" applyBorder="1" applyAlignment="1" applyProtection="1">
      <alignment horizontal="center" vertical="center"/>
    </xf>
    <xf numFmtId="166" fontId="11" fillId="41" borderId="16" xfId="0" applyNumberFormat="1" applyFont="1" applyFill="1" applyBorder="1" applyAlignment="1" applyProtection="1">
      <alignment horizontal="center" vertical="center"/>
    </xf>
    <xf numFmtId="10" fontId="2" fillId="35" borderId="1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33" fillId="34" borderId="1" xfId="0" applyFont="1" applyFill="1" applyBorder="1" applyAlignment="1">
      <alignment horizontal="center" vertical="center"/>
    </xf>
    <xf numFmtId="0" fontId="0" fillId="38" borderId="0" xfId="0" applyFill="1" applyProtection="1"/>
    <xf numFmtId="0" fontId="0" fillId="38" borderId="0" xfId="0" applyFill="1" applyAlignment="1" applyProtection="1">
      <alignment horizontal="left"/>
    </xf>
    <xf numFmtId="0" fontId="35" fillId="38" borderId="0" xfId="0" applyFont="1" applyFill="1" applyAlignment="1" applyProtection="1">
      <alignment vertical="center"/>
    </xf>
    <xf numFmtId="0" fontId="0" fillId="0" borderId="0" xfId="0" applyProtection="1"/>
    <xf numFmtId="0" fontId="28" fillId="36" borderId="1" xfId="0" applyFont="1" applyFill="1" applyBorder="1" applyAlignment="1" applyProtection="1">
      <alignment horizontal="center"/>
    </xf>
    <xf numFmtId="0" fontId="39" fillId="36" borderId="1" xfId="0" applyFont="1" applyFill="1" applyBorder="1" applyAlignment="1" applyProtection="1">
      <alignment horizontal="left"/>
    </xf>
    <xf numFmtId="0" fontId="0" fillId="40" borderId="13" xfId="0" applyFont="1" applyFill="1" applyBorder="1" applyAlignment="1" applyProtection="1">
      <alignment horizontal="center"/>
    </xf>
    <xf numFmtId="0" fontId="39" fillId="36" borderId="11" xfId="0" applyFont="1" applyFill="1" applyBorder="1" applyAlignment="1" applyProtection="1">
      <alignment horizontal="left"/>
    </xf>
    <xf numFmtId="0" fontId="0" fillId="45" borderId="38" xfId="0" applyFont="1" applyFill="1" applyBorder="1" applyAlignment="1" applyProtection="1">
      <alignment horizontal="center"/>
    </xf>
    <xf numFmtId="0" fontId="0" fillId="45" borderId="39" xfId="0" applyFont="1" applyFill="1" applyBorder="1" applyAlignment="1" applyProtection="1">
      <alignment horizontal="center"/>
    </xf>
    <xf numFmtId="0" fontId="37" fillId="44" borderId="11" xfId="0" applyFont="1" applyFill="1" applyBorder="1" applyAlignment="1" applyProtection="1">
      <alignment horizontal="center" vertical="center"/>
    </xf>
    <xf numFmtId="0" fontId="37" fillId="44" borderId="17" xfId="0" applyFont="1" applyFill="1" applyBorder="1" applyAlignment="1" applyProtection="1">
      <alignment horizontal="center" vertical="center"/>
    </xf>
    <xf numFmtId="0" fontId="37" fillId="44" borderId="18" xfId="0" applyFont="1" applyFill="1" applyBorder="1" applyAlignment="1" applyProtection="1">
      <alignment horizontal="center" vertical="center"/>
    </xf>
    <xf numFmtId="0" fontId="0" fillId="44" borderId="24" xfId="0" applyFont="1" applyFill="1" applyBorder="1" applyAlignment="1" applyProtection="1">
      <alignment horizontal="center"/>
    </xf>
    <xf numFmtId="0" fontId="0" fillId="44" borderId="1" xfId="0" applyFont="1" applyFill="1" applyBorder="1" applyAlignment="1" applyProtection="1">
      <alignment horizontal="center"/>
    </xf>
    <xf numFmtId="0" fontId="35" fillId="38" borderId="0" xfId="0" applyFont="1" applyFill="1" applyBorder="1" applyAlignment="1" applyProtection="1">
      <alignment horizontal="center" vertical="top" wrapText="1"/>
    </xf>
    <xf numFmtId="0" fontId="35" fillId="38" borderId="3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35" fillId="0" borderId="0" xfId="0" applyFont="1" applyAlignment="1" applyProtection="1">
      <alignment vertical="center"/>
    </xf>
    <xf numFmtId="0" fontId="37" fillId="42" borderId="11" xfId="0" applyFont="1" applyFill="1" applyBorder="1" applyAlignment="1" applyProtection="1">
      <alignment horizontal="center" vertical="center"/>
      <protection locked="0"/>
    </xf>
    <xf numFmtId="0" fontId="37" fillId="42" borderId="17" xfId="0" applyFont="1" applyFill="1" applyBorder="1" applyAlignment="1" applyProtection="1">
      <alignment horizontal="center" vertical="center"/>
      <protection locked="0"/>
    </xf>
    <xf numFmtId="0" fontId="37" fillId="42" borderId="18" xfId="0" applyFont="1" applyFill="1" applyBorder="1" applyAlignment="1" applyProtection="1">
      <alignment horizontal="center" vertical="center"/>
      <protection locked="0"/>
    </xf>
    <xf numFmtId="0" fontId="37" fillId="40" borderId="11" xfId="0" applyFont="1" applyFill="1" applyBorder="1" applyAlignment="1" applyProtection="1">
      <alignment horizontal="center" vertical="center"/>
      <protection locked="0"/>
    </xf>
    <xf numFmtId="0" fontId="37" fillId="40" borderId="17" xfId="0" applyFont="1" applyFill="1" applyBorder="1" applyAlignment="1" applyProtection="1">
      <alignment horizontal="center" vertical="center"/>
      <protection locked="0"/>
    </xf>
    <xf numFmtId="0" fontId="37" fillId="40" borderId="18" xfId="0" applyFont="1" applyFill="1" applyBorder="1" applyAlignment="1" applyProtection="1">
      <alignment horizontal="center" vertical="center"/>
      <protection locked="0"/>
    </xf>
    <xf numFmtId="0" fontId="10" fillId="40" borderId="1" xfId="0" applyNumberFormat="1" applyFont="1" applyFill="1" applyBorder="1" applyAlignment="1" applyProtection="1">
      <alignment horizontal="center" vertical="center"/>
      <protection locked="0"/>
    </xf>
    <xf numFmtId="167" fontId="10" fillId="40" borderId="1" xfId="0" applyNumberFormat="1" applyFont="1" applyFill="1" applyBorder="1" applyAlignment="1" applyProtection="1">
      <alignment horizontal="center" vertical="center"/>
      <protection locked="0"/>
    </xf>
  </cellXfs>
  <cellStyles count="48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8" builtinId="20" customBuiltin="1"/>
    <cellStyle name="Insatisfaisant" xfId="29" builtinId="27" customBuiltin="1"/>
    <cellStyle name="Milliers" xfId="30" builtinId="3"/>
    <cellStyle name="Neutre" xfId="31" builtinId="28" customBuiltin="1"/>
    <cellStyle name="Normal" xfId="0" builtinId="0"/>
    <cellStyle name="Normal 2" xfId="32"/>
    <cellStyle name="Normal 2 3" xfId="33"/>
    <cellStyle name="Normal 3" xfId="34"/>
    <cellStyle name="Normal_Feuil1" xfId="35"/>
    <cellStyle name="Note" xfId="36" builtinId="10" customBuiltin="1"/>
    <cellStyle name="Pourcentage" xfId="37" builtinId="5"/>
    <cellStyle name="Satisfaisant" xfId="38" builtinId="26" customBuiltin="1"/>
    <cellStyle name="Sortie" xfId="39" builtinId="21" customBuiltin="1"/>
    <cellStyle name="Texte explicatif" xfId="40" builtinId="53" customBuiltin="1"/>
    <cellStyle name="Titre" xfId="41" builtinId="15" customBuiltin="1"/>
    <cellStyle name="Titre 1" xfId="42" builtinId="16" customBuiltin="1"/>
    <cellStyle name="Titre 2" xfId="43" builtinId="17" customBuiltin="1"/>
    <cellStyle name="Titre 3" xfId="44" builtinId="18" customBuiltin="1"/>
    <cellStyle name="Titre 4" xfId="45" builtinId="19" customBuiltin="1"/>
    <cellStyle name="Total" xfId="46" builtinId="25" customBuiltin="1"/>
    <cellStyle name="Vérification" xfId="47" builtinId="23" customBuiltin="1"/>
  </cellStyles>
  <dxfs count="2">
    <dxf>
      <font>
        <color rgb="FF969696"/>
      </font>
      <fill>
        <patternFill>
          <bgColor rgb="FF969696"/>
        </patternFill>
      </fill>
    </dxf>
    <dxf>
      <font>
        <color rgb="FF969696"/>
      </font>
      <fill>
        <patternFill>
          <bgColor rgb="FF96969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7</xdr:col>
      <xdr:colOff>809625</xdr:colOff>
      <xdr:row>9</xdr:row>
      <xdr:rowOff>66675</xdr:rowOff>
    </xdr:to>
    <xdr:pic>
      <xdr:nvPicPr>
        <xdr:cNvPr id="1027" name="Imag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200025"/>
          <a:ext cx="80962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0</xdr:colOff>
      <xdr:row>1</xdr:row>
      <xdr:rowOff>171450</xdr:rowOff>
    </xdr:to>
    <xdr:pic>
      <xdr:nvPicPr>
        <xdr:cNvPr id="2050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harte PCs">
      <a:dk1>
        <a:sysClr val="windowText" lastClr="000000"/>
      </a:dk1>
      <a:lt1>
        <a:sysClr val="window" lastClr="FFFFFF"/>
      </a:lt1>
      <a:dk2>
        <a:srgbClr val="82553F"/>
      </a:dk2>
      <a:lt2>
        <a:srgbClr val="8FB163"/>
      </a:lt2>
      <a:accent1>
        <a:srgbClr val="613C24"/>
      </a:accent1>
      <a:accent2>
        <a:srgbClr val="749848"/>
      </a:accent2>
      <a:accent3>
        <a:srgbClr val="A6FF00"/>
      </a:accent3>
      <a:accent4>
        <a:srgbClr val="66CCB8"/>
      </a:accent4>
      <a:accent5>
        <a:srgbClr val="00A68D"/>
      </a:accent5>
      <a:accent6>
        <a:srgbClr val="CC4033"/>
      </a:accent6>
      <a:hlink>
        <a:srgbClr val="982DB3"/>
      </a:hlink>
      <a:folHlink>
        <a:srgbClr val="7A00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64"/>
  <sheetViews>
    <sheetView tabSelected="1" zoomScale="115" zoomScaleNormal="115" workbookViewId="0"/>
  </sheetViews>
  <sheetFormatPr baseColWidth="10" defaultRowHeight="15" x14ac:dyDescent="0.25"/>
  <cols>
    <col min="1" max="2" width="3.7109375" style="173" customWidth="1"/>
    <col min="3" max="3" width="35.28515625" style="187" bestFit="1" customWidth="1"/>
    <col min="4" max="5" width="14.7109375" style="173" customWidth="1"/>
    <col min="6" max="6" width="14.7109375" style="188" customWidth="1"/>
    <col min="7" max="7" width="10.7109375" style="173" customWidth="1"/>
    <col min="8" max="8" width="49.28515625" style="173" customWidth="1"/>
    <col min="9" max="12" width="7.85546875" style="173" customWidth="1"/>
    <col min="13" max="16384" width="11.42578125" style="173"/>
  </cols>
  <sheetData>
    <row r="1" spans="1:26" ht="15.75" thickBot="1" x14ac:dyDescent="0.3">
      <c r="A1" s="170"/>
      <c r="B1" s="170"/>
      <c r="C1" s="171"/>
      <c r="D1" s="170"/>
      <c r="E1" s="170"/>
      <c r="F1" s="172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6" ht="15" customHeight="1" x14ac:dyDescent="0.25">
      <c r="A2" s="170"/>
      <c r="B2" s="146" t="s">
        <v>19</v>
      </c>
      <c r="C2" s="147"/>
      <c r="D2" s="147"/>
      <c r="E2" s="147"/>
      <c r="F2" s="147"/>
      <c r="G2" s="148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</row>
    <row r="3" spans="1:26" ht="24.95" customHeight="1" x14ac:dyDescent="0.25">
      <c r="A3" s="170"/>
      <c r="B3" s="152" t="s">
        <v>145</v>
      </c>
      <c r="C3" s="153"/>
      <c r="D3" s="153"/>
      <c r="E3" s="153"/>
      <c r="F3" s="74"/>
      <c r="G3" s="75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6" ht="15.95" customHeight="1" thickBot="1" x14ac:dyDescent="0.3">
      <c r="A4" s="170"/>
      <c r="B4" s="149" t="s">
        <v>146</v>
      </c>
      <c r="C4" s="150"/>
      <c r="D4" s="150"/>
      <c r="E4" s="150"/>
      <c r="F4" s="150"/>
      <c r="G4" s="151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6" ht="15" customHeight="1" thickBot="1" x14ac:dyDescent="0.3">
      <c r="A5" s="170"/>
      <c r="B5" s="143" t="s">
        <v>18</v>
      </c>
      <c r="C5" s="144"/>
      <c r="D5" s="144"/>
      <c r="E5" s="144"/>
      <c r="F5" s="144"/>
      <c r="G5" s="145"/>
      <c r="H5" s="170"/>
      <c r="I5" s="174" t="s">
        <v>139</v>
      </c>
      <c r="J5" s="174"/>
      <c r="K5" s="174"/>
      <c r="L5" s="174"/>
      <c r="M5" s="174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</row>
    <row r="6" spans="1:26" ht="15" customHeight="1" thickBot="1" x14ac:dyDescent="0.3">
      <c r="A6" s="170"/>
      <c r="B6" s="28" t="s">
        <v>17</v>
      </c>
      <c r="C6" s="69"/>
      <c r="D6" s="134"/>
      <c r="E6" s="134"/>
      <c r="F6" s="134"/>
      <c r="G6" s="29"/>
      <c r="H6" s="170"/>
      <c r="I6" s="175" t="s">
        <v>140</v>
      </c>
      <c r="J6" s="175"/>
      <c r="K6" s="175"/>
      <c r="L6" s="175"/>
      <c r="M6" s="176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1:26" ht="6" customHeight="1" x14ac:dyDescent="0.25">
      <c r="A7" s="170"/>
      <c r="B7" s="32"/>
      <c r="C7" s="53"/>
      <c r="D7" s="156"/>
      <c r="E7" s="156"/>
      <c r="F7" s="156"/>
      <c r="G7" s="30"/>
      <c r="H7" s="170"/>
      <c r="I7" s="175" t="s">
        <v>142</v>
      </c>
      <c r="J7" s="175"/>
      <c r="K7" s="175"/>
      <c r="L7" s="177"/>
      <c r="M7" s="178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6" ht="9.9499999999999993" customHeight="1" thickBot="1" x14ac:dyDescent="0.3">
      <c r="A8" s="170"/>
      <c r="B8" s="32"/>
      <c r="C8" s="26" t="s">
        <v>20</v>
      </c>
      <c r="D8" s="189">
        <v>75</v>
      </c>
      <c r="E8" s="190"/>
      <c r="F8" s="191"/>
      <c r="G8" s="30"/>
      <c r="H8" s="170"/>
      <c r="I8" s="175"/>
      <c r="J8" s="175"/>
      <c r="K8" s="175"/>
      <c r="L8" s="177"/>
      <c r="M8" s="179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1:26" ht="9.9499999999999993" customHeight="1" x14ac:dyDescent="0.25">
      <c r="A9" s="170"/>
      <c r="B9" s="32"/>
      <c r="C9" s="26" t="s">
        <v>37</v>
      </c>
      <c r="D9" s="180" t="str">
        <f>VLOOKUP(D8,ELEMENTS!B3:C98,2)</f>
        <v>H1a</v>
      </c>
      <c r="E9" s="181"/>
      <c r="F9" s="182"/>
      <c r="G9" s="30"/>
      <c r="H9" s="170"/>
      <c r="I9" s="175" t="s">
        <v>141</v>
      </c>
      <c r="J9" s="175"/>
      <c r="K9" s="175"/>
      <c r="L9" s="175"/>
      <c r="M9" s="183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1:26" ht="6" customHeight="1" thickBot="1" x14ac:dyDescent="0.3">
      <c r="A10" s="170"/>
      <c r="B10" s="32"/>
      <c r="C10" s="26"/>
      <c r="D10" s="155"/>
      <c r="E10" s="155"/>
      <c r="F10" s="155"/>
      <c r="G10" s="30"/>
      <c r="H10" s="170"/>
      <c r="I10" s="175"/>
      <c r="J10" s="175"/>
      <c r="K10" s="175"/>
      <c r="L10" s="175"/>
      <c r="M10" s="184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1:26" ht="15" customHeight="1" x14ac:dyDescent="0.25">
      <c r="A11" s="170"/>
      <c r="B11" s="66" t="s">
        <v>16</v>
      </c>
      <c r="C11" s="70"/>
      <c r="D11" s="154"/>
      <c r="E11" s="154"/>
      <c r="F11" s="154"/>
      <c r="G11" s="67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1:26" ht="6" customHeight="1" x14ac:dyDescent="0.25">
      <c r="A12" s="170"/>
      <c r="B12" s="32"/>
      <c r="C12" s="53"/>
      <c r="D12" s="133"/>
      <c r="E12" s="133"/>
      <c r="F12" s="133"/>
      <c r="G12" s="3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1:26" ht="9.9499999999999993" customHeight="1" x14ac:dyDescent="0.25">
      <c r="A13" s="170"/>
      <c r="B13" s="32"/>
      <c r="C13" s="26" t="s">
        <v>15</v>
      </c>
      <c r="D13" s="189" t="s">
        <v>52</v>
      </c>
      <c r="E13" s="190"/>
      <c r="F13" s="191"/>
      <c r="G13" s="3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1:26" ht="9.9499999999999993" customHeight="1" x14ac:dyDescent="0.25">
      <c r="A14" s="170"/>
      <c r="B14" s="32"/>
      <c r="C14" s="26" t="s">
        <v>82</v>
      </c>
      <c r="D14" s="189" t="s">
        <v>122</v>
      </c>
      <c r="E14" s="190"/>
      <c r="F14" s="191"/>
      <c r="G14" s="3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1:26" ht="9.9499999999999993" customHeight="1" x14ac:dyDescent="0.25">
      <c r="A15" s="170"/>
      <c r="B15" s="32"/>
      <c r="C15" s="26" t="str">
        <f>VLOOKUP(Usage,ELEMENTS!J15:R28,2,FALSE)</f>
        <v>Nombre de logements</v>
      </c>
      <c r="D15" s="192">
        <v>30</v>
      </c>
      <c r="E15" s="193"/>
      <c r="F15" s="194"/>
      <c r="G15" s="3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</row>
    <row r="16" spans="1:26" ht="9.9499999999999993" customHeight="1" x14ac:dyDescent="0.25">
      <c r="A16" s="170"/>
      <c r="B16" s="32"/>
      <c r="C16" s="26" t="s">
        <v>135</v>
      </c>
      <c r="D16" s="192">
        <v>1280</v>
      </c>
      <c r="E16" s="193"/>
      <c r="F16" s="194"/>
      <c r="G16" s="3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</row>
    <row r="17" spans="1:26" ht="18" customHeight="1" x14ac:dyDescent="0.25">
      <c r="A17" s="170"/>
      <c r="B17" s="32"/>
      <c r="C17" s="26" t="s">
        <v>126</v>
      </c>
      <c r="D17" s="192">
        <v>1309</v>
      </c>
      <c r="E17" s="193"/>
      <c r="F17" s="194"/>
      <c r="G17" s="3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ht="9.9499999999999993" customHeight="1" x14ac:dyDescent="0.25">
      <c r="A18" s="170"/>
      <c r="B18" s="32"/>
      <c r="C18" s="26" t="s">
        <v>127</v>
      </c>
      <c r="D18" s="192">
        <v>1309</v>
      </c>
      <c r="E18" s="193"/>
      <c r="F18" s="194"/>
      <c r="G18" s="3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ht="9.9499999999999993" customHeight="1" x14ac:dyDescent="0.25">
      <c r="A19" s="170"/>
      <c r="B19" s="32"/>
      <c r="C19" s="26"/>
      <c r="D19" s="138" t="s">
        <v>97</v>
      </c>
      <c r="E19" s="138"/>
      <c r="F19" s="138"/>
      <c r="G19" s="30"/>
      <c r="H19" s="185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ht="9.9499999999999993" customHeight="1" x14ac:dyDescent="0.25">
      <c r="A20" s="170"/>
      <c r="B20" s="32"/>
      <c r="C20" s="26"/>
      <c r="D20" s="192">
        <v>30</v>
      </c>
      <c r="E20" s="193"/>
      <c r="F20" s="194"/>
      <c r="G20" s="95"/>
      <c r="H20" s="185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ht="9.9499999999999993" customHeight="1" x14ac:dyDescent="0.25">
      <c r="A21" s="170"/>
      <c r="B21" s="32"/>
      <c r="C21" s="26"/>
      <c r="D21" s="138" t="s">
        <v>89</v>
      </c>
      <c r="E21" s="138"/>
      <c r="F21" s="138"/>
      <c r="G21" s="77"/>
      <c r="H21" s="172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ht="9.9499999999999993" customHeight="1" x14ac:dyDescent="0.25">
      <c r="A22" s="170"/>
      <c r="B22" s="32"/>
      <c r="C22" s="26" t="s">
        <v>128</v>
      </c>
      <c r="D22" s="192">
        <v>15</v>
      </c>
      <c r="E22" s="193"/>
      <c r="F22" s="194"/>
      <c r="G22" s="30"/>
      <c r="H22" s="186" t="s">
        <v>131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ht="9.9499999999999993" customHeight="1" x14ac:dyDescent="0.25">
      <c r="A23" s="170"/>
      <c r="B23" s="32"/>
      <c r="C23" s="26" t="s">
        <v>129</v>
      </c>
      <c r="D23" s="192">
        <v>5</v>
      </c>
      <c r="E23" s="193"/>
      <c r="F23" s="194"/>
      <c r="G23" s="30"/>
      <c r="H23" s="186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ht="9.9499999999999993" customHeight="1" x14ac:dyDescent="0.25">
      <c r="A24" s="170"/>
      <c r="B24" s="32"/>
      <c r="C24" s="26" t="s">
        <v>130</v>
      </c>
      <c r="D24" s="192">
        <v>5</v>
      </c>
      <c r="E24" s="193"/>
      <c r="F24" s="194"/>
      <c r="G24" s="30"/>
      <c r="H24" s="172" t="s">
        <v>132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ht="6" customHeight="1" thickBot="1" x14ac:dyDescent="0.3">
      <c r="A25" s="170"/>
      <c r="B25" s="33"/>
      <c r="C25" s="27"/>
      <c r="D25" s="132"/>
      <c r="E25" s="132"/>
      <c r="F25" s="132"/>
      <c r="G25" s="68"/>
      <c r="H25" s="172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ht="15" customHeight="1" x14ac:dyDescent="0.25">
      <c r="A26" s="170"/>
      <c r="B26" s="28" t="s">
        <v>75</v>
      </c>
      <c r="C26" s="71"/>
      <c r="D26" s="134"/>
      <c r="E26" s="134"/>
      <c r="F26" s="134"/>
      <c r="G26" s="29"/>
      <c r="H26" s="172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ht="6" customHeight="1" x14ac:dyDescent="0.25">
      <c r="A27" s="170"/>
      <c r="B27" s="32"/>
      <c r="C27" s="53"/>
      <c r="D27" s="133"/>
      <c r="E27" s="133"/>
      <c r="F27" s="133"/>
      <c r="G27" s="30"/>
      <c r="H27" s="172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ht="9.9499999999999993" customHeight="1" x14ac:dyDescent="0.25">
      <c r="A28" s="170"/>
      <c r="B28" s="32"/>
      <c r="C28" s="26" t="s">
        <v>93</v>
      </c>
      <c r="D28" s="135" t="s">
        <v>77</v>
      </c>
      <c r="E28" s="135"/>
      <c r="F28" s="135"/>
      <c r="G28" s="30"/>
      <c r="H28" s="172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ht="17.100000000000001" customHeight="1" x14ac:dyDescent="0.25">
      <c r="A29" s="170"/>
      <c r="B29" s="32"/>
      <c r="C29" s="81" t="s">
        <v>136</v>
      </c>
      <c r="D29" s="195">
        <v>0.91</v>
      </c>
      <c r="E29" s="195"/>
      <c r="F29" s="195"/>
      <c r="G29" s="30"/>
      <c r="H29" s="172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ht="9.9499999999999993" customHeight="1" x14ac:dyDescent="0.25">
      <c r="A30" s="170"/>
      <c r="B30" s="32"/>
      <c r="C30" s="26" t="s">
        <v>94</v>
      </c>
      <c r="D30" s="135" t="s">
        <v>77</v>
      </c>
      <c r="E30" s="135"/>
      <c r="F30" s="135"/>
      <c r="G30" s="30"/>
      <c r="H30" s="172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ht="17.100000000000001" customHeight="1" x14ac:dyDescent="0.25">
      <c r="A31" s="170"/>
      <c r="B31" s="32"/>
      <c r="C31" s="81" t="s">
        <v>91</v>
      </c>
      <c r="D31" s="196">
        <v>0.52</v>
      </c>
      <c r="E31" s="196"/>
      <c r="F31" s="196"/>
      <c r="G31" s="30"/>
      <c r="H31" s="172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ht="6" customHeight="1" thickBot="1" x14ac:dyDescent="0.3">
      <c r="A32" s="170"/>
      <c r="B32" s="33"/>
      <c r="C32" s="27"/>
      <c r="D32" s="132"/>
      <c r="E32" s="132"/>
      <c r="F32" s="132"/>
      <c r="G32" s="68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ht="15" customHeight="1" x14ac:dyDescent="0.25">
      <c r="A33" s="170"/>
      <c r="B33" s="28" t="s">
        <v>11</v>
      </c>
      <c r="C33" s="72"/>
      <c r="D33" s="134"/>
      <c r="E33" s="134"/>
      <c r="F33" s="134"/>
      <c r="G33" s="29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ht="6" customHeight="1" x14ac:dyDescent="0.25">
      <c r="A34" s="170"/>
      <c r="B34" s="32"/>
      <c r="C34" s="53"/>
      <c r="D34" s="133"/>
      <c r="E34" s="133"/>
      <c r="F34" s="133"/>
      <c r="G34" s="3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ht="9.9499999999999993" customHeight="1" x14ac:dyDescent="0.25">
      <c r="A35" s="170"/>
      <c r="B35" s="32"/>
      <c r="C35" s="26" t="s">
        <v>10</v>
      </c>
      <c r="D35" s="136" t="s">
        <v>13</v>
      </c>
      <c r="E35" s="136"/>
      <c r="F35" s="136"/>
      <c r="G35" s="3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ht="9.9499999999999993" customHeight="1" x14ac:dyDescent="0.25">
      <c r="A36" s="170"/>
      <c r="B36" s="32"/>
      <c r="C36" s="26" t="str">
        <f>VLOOKUP(Energie,ELEMENTS!J3:P11,2,FALSE)</f>
        <v>Saisir 100%</v>
      </c>
      <c r="D36" s="137">
        <v>95</v>
      </c>
      <c r="E36" s="137"/>
      <c r="F36" s="137"/>
      <c r="G36" s="3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ht="6" customHeight="1" thickBot="1" x14ac:dyDescent="0.3">
      <c r="A37" s="170"/>
      <c r="B37" s="33"/>
      <c r="C37" s="73"/>
      <c r="D37" s="132"/>
      <c r="E37" s="132"/>
      <c r="F37" s="132"/>
      <c r="G37" s="68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ht="9.9499999999999993" customHeight="1" x14ac:dyDescent="0.25">
      <c r="A38" s="170"/>
      <c r="B38" s="28" t="s">
        <v>100</v>
      </c>
      <c r="C38" s="72"/>
      <c r="D38" s="134"/>
      <c r="E38" s="134"/>
      <c r="F38" s="134"/>
      <c r="G38" s="29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ht="6" customHeight="1" x14ac:dyDescent="0.25">
      <c r="A39" s="170"/>
      <c r="B39" s="32"/>
      <c r="C39" s="53"/>
      <c r="D39" s="133"/>
      <c r="E39" s="133"/>
      <c r="F39" s="133"/>
      <c r="G39" s="3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ht="9.9499999999999993" customHeight="1" x14ac:dyDescent="0.25">
      <c r="A40" s="170"/>
      <c r="B40" s="32"/>
      <c r="C40" s="26" t="s">
        <v>101</v>
      </c>
      <c r="D40" s="136" t="s">
        <v>103</v>
      </c>
      <c r="E40" s="136"/>
      <c r="F40" s="136"/>
      <c r="G40" s="3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26" ht="9.9499999999999993" customHeight="1" x14ac:dyDescent="0.25">
      <c r="A41" s="170"/>
      <c r="B41" s="32"/>
      <c r="C41" s="26" t="s">
        <v>134</v>
      </c>
      <c r="D41" s="137">
        <v>1</v>
      </c>
      <c r="E41" s="137"/>
      <c r="F41" s="137"/>
      <c r="G41" s="30"/>
      <c r="H41" s="172" t="s">
        <v>133</v>
      </c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</row>
    <row r="42" spans="1:26" ht="9.9499999999999993" customHeight="1" thickBot="1" x14ac:dyDescent="0.3">
      <c r="A42" s="170"/>
      <c r="B42" s="33"/>
      <c r="C42" s="73"/>
      <c r="D42" s="132"/>
      <c r="E42" s="132"/>
      <c r="F42" s="132"/>
      <c r="G42" s="68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</row>
    <row r="43" spans="1:26" ht="6" customHeight="1" thickBot="1" x14ac:dyDescent="0.3">
      <c r="A43" s="170"/>
      <c r="B43" s="33"/>
      <c r="C43" s="73"/>
      <c r="D43" s="132"/>
      <c r="E43" s="132"/>
      <c r="F43" s="132"/>
      <c r="G43" s="68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</row>
    <row r="44" spans="1:26" ht="9.9499999999999993" customHeight="1" x14ac:dyDescent="0.25">
      <c r="A44" s="170"/>
      <c r="B44" s="123" t="s">
        <v>9</v>
      </c>
      <c r="C44" s="124"/>
      <c r="D44" s="142"/>
      <c r="E44" s="142"/>
      <c r="F44" s="142"/>
      <c r="G44" s="129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</row>
    <row r="45" spans="1:26" ht="15" customHeight="1" thickBot="1" x14ac:dyDescent="0.3">
      <c r="A45" s="170"/>
      <c r="B45" s="125"/>
      <c r="C45" s="157" t="s">
        <v>76</v>
      </c>
      <c r="D45" s="158">
        <f>Gain</f>
        <v>2020.0432025050038</v>
      </c>
      <c r="E45" s="159"/>
      <c r="F45" s="160"/>
      <c r="G45" s="129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</row>
    <row r="46" spans="1:26" ht="15" customHeight="1" thickBot="1" x14ac:dyDescent="0.3">
      <c r="A46" s="170"/>
      <c r="B46" s="126"/>
      <c r="C46" s="157"/>
      <c r="D46" s="139">
        <f>(Gain*VLOOKUP(Energie,ELEMENTS!J3:P11,6,FALSE))/SHON</f>
        <v>3.981444967504133</v>
      </c>
      <c r="E46" s="140"/>
      <c r="F46" s="141"/>
      <c r="G46" s="129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</row>
    <row r="47" spans="1:26" ht="9.9499999999999993" customHeight="1" thickBot="1" x14ac:dyDescent="0.3">
      <c r="A47" s="170"/>
      <c r="B47" s="127"/>
      <c r="C47" s="128"/>
      <c r="D47" s="131"/>
      <c r="E47" s="131"/>
      <c r="F47" s="131"/>
      <c r="G47" s="13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</row>
    <row r="48" spans="1:26" x14ac:dyDescent="0.25">
      <c r="A48" s="170"/>
      <c r="B48" s="170"/>
      <c r="C48" s="171"/>
      <c r="D48" s="170"/>
      <c r="E48" s="170"/>
      <c r="F48" s="172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</row>
    <row r="49" spans="1:26" x14ac:dyDescent="0.25">
      <c r="A49" s="170"/>
      <c r="B49" s="170"/>
      <c r="C49" s="171"/>
      <c r="D49" s="170"/>
      <c r="E49" s="170"/>
      <c r="F49" s="172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</row>
    <row r="50" spans="1:26" x14ac:dyDescent="0.25">
      <c r="A50" s="170"/>
      <c r="B50" s="170"/>
      <c r="C50" s="171"/>
      <c r="D50" s="170"/>
      <c r="E50" s="170"/>
      <c r="F50" s="172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</row>
    <row r="51" spans="1:26" x14ac:dyDescent="0.25">
      <c r="A51" s="170"/>
      <c r="B51" s="170"/>
      <c r="C51" s="171"/>
      <c r="D51" s="170"/>
      <c r="E51" s="170"/>
      <c r="F51" s="172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</row>
    <row r="52" spans="1:26" x14ac:dyDescent="0.25">
      <c r="A52" s="170"/>
      <c r="B52" s="170"/>
      <c r="C52" s="171"/>
      <c r="D52" s="170"/>
      <c r="E52" s="170"/>
      <c r="F52" s="172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</row>
    <row r="53" spans="1:26" x14ac:dyDescent="0.25">
      <c r="A53" s="170"/>
      <c r="B53" s="170"/>
      <c r="C53" s="171"/>
      <c r="D53" s="170"/>
      <c r="E53" s="170"/>
      <c r="F53" s="172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</row>
    <row r="54" spans="1:26" x14ac:dyDescent="0.25">
      <c r="A54" s="170"/>
      <c r="B54" s="170"/>
      <c r="C54" s="171"/>
      <c r="D54" s="170"/>
      <c r="E54" s="170"/>
      <c r="F54" s="172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</row>
    <row r="55" spans="1:26" x14ac:dyDescent="0.25">
      <c r="A55" s="170"/>
      <c r="B55" s="170"/>
      <c r="C55" s="171"/>
      <c r="D55" s="170"/>
      <c r="E55" s="170"/>
      <c r="F55" s="172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</row>
    <row r="56" spans="1:26" x14ac:dyDescent="0.25">
      <c r="A56" s="170"/>
      <c r="B56" s="170"/>
      <c r="C56" s="171"/>
      <c r="D56" s="170"/>
      <c r="E56" s="170"/>
      <c r="F56" s="172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</row>
    <row r="57" spans="1:26" x14ac:dyDescent="0.25">
      <c r="A57" s="170"/>
      <c r="B57" s="170"/>
      <c r="C57" s="171"/>
      <c r="D57" s="170"/>
      <c r="E57" s="170"/>
      <c r="F57" s="172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</row>
    <row r="58" spans="1:26" x14ac:dyDescent="0.25">
      <c r="A58" s="170"/>
      <c r="B58" s="170"/>
      <c r="C58" s="171"/>
      <c r="D58" s="170"/>
      <c r="E58" s="170"/>
      <c r="F58" s="172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</row>
    <row r="59" spans="1:26" x14ac:dyDescent="0.25">
      <c r="A59" s="170"/>
      <c r="B59" s="170"/>
      <c r="C59" s="171"/>
      <c r="D59" s="170"/>
      <c r="E59" s="170"/>
      <c r="F59" s="172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</row>
    <row r="60" spans="1:26" x14ac:dyDescent="0.25">
      <c r="A60" s="170"/>
      <c r="B60" s="170"/>
      <c r="C60" s="171"/>
      <c r="D60" s="170"/>
      <c r="E60" s="170"/>
      <c r="F60" s="172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</row>
    <row r="61" spans="1:26" x14ac:dyDescent="0.25">
      <c r="A61" s="170"/>
      <c r="B61" s="170"/>
      <c r="C61" s="171"/>
      <c r="D61" s="170"/>
      <c r="E61" s="170"/>
      <c r="F61" s="172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</row>
    <row r="62" spans="1:26" x14ac:dyDescent="0.25">
      <c r="A62" s="170"/>
      <c r="B62" s="170"/>
      <c r="C62" s="171"/>
      <c r="D62" s="170"/>
      <c r="E62" s="170"/>
      <c r="F62" s="172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</row>
    <row r="63" spans="1:26" x14ac:dyDescent="0.25">
      <c r="A63" s="170"/>
      <c r="B63" s="170"/>
      <c r="C63" s="171"/>
      <c r="D63" s="170"/>
      <c r="E63" s="170"/>
      <c r="F63" s="172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</row>
    <row r="64" spans="1:26" x14ac:dyDescent="0.25">
      <c r="A64" s="170"/>
    </row>
  </sheetData>
  <sheetProtection algorithmName="SHA-512" hashValue="QBSZJZjjrLC9Fblad837rJEOj9+zXKqSHdXygT1/d9P0VkDyJ7ct2FB1GDdxQBKYVZa09rZOMvZducgCQYB0Wg==" saltValue="wQdW0+vnuc//jXSXttdthw==" spinCount="100000" sheet="1" objects="1" scenarios="1"/>
  <mergeCells count="54">
    <mergeCell ref="C45:C46"/>
    <mergeCell ref="D31:F31"/>
    <mergeCell ref="D45:F45"/>
    <mergeCell ref="D22:F22"/>
    <mergeCell ref="D23:F23"/>
    <mergeCell ref="D28:F28"/>
    <mergeCell ref="D29:F29"/>
    <mergeCell ref="D42:F42"/>
    <mergeCell ref="D41:F41"/>
    <mergeCell ref="D37:F37"/>
    <mergeCell ref="D24:F24"/>
    <mergeCell ref="B2:G2"/>
    <mergeCell ref="B4:G4"/>
    <mergeCell ref="B3:E3"/>
    <mergeCell ref="D12:F12"/>
    <mergeCell ref="D11:F11"/>
    <mergeCell ref="D10:F10"/>
    <mergeCell ref="D7:F7"/>
    <mergeCell ref="D8:F8"/>
    <mergeCell ref="D9:F9"/>
    <mergeCell ref="B5:G5"/>
    <mergeCell ref="D38:F38"/>
    <mergeCell ref="D39:F39"/>
    <mergeCell ref="D40:F40"/>
    <mergeCell ref="D26:F26"/>
    <mergeCell ref="H22:H23"/>
    <mergeCell ref="D21:F21"/>
    <mergeCell ref="D46:F46"/>
    <mergeCell ref="D6:F6"/>
    <mergeCell ref="D15:F15"/>
    <mergeCell ref="D13:F13"/>
    <mergeCell ref="D14:F14"/>
    <mergeCell ref="D16:F16"/>
    <mergeCell ref="D18:F18"/>
    <mergeCell ref="D17:F17"/>
    <mergeCell ref="D20:F20"/>
    <mergeCell ref="D19:F19"/>
    <mergeCell ref="D44:F44"/>
    <mergeCell ref="D47:F47"/>
    <mergeCell ref="D25:F25"/>
    <mergeCell ref="D27:F27"/>
    <mergeCell ref="D32:F32"/>
    <mergeCell ref="D43:F43"/>
    <mergeCell ref="D34:F34"/>
    <mergeCell ref="D33:F33"/>
    <mergeCell ref="D30:F30"/>
    <mergeCell ref="D35:F35"/>
    <mergeCell ref="D36:F36"/>
    <mergeCell ref="I5:M5"/>
    <mergeCell ref="I6:L6"/>
    <mergeCell ref="I7:L8"/>
    <mergeCell ref="I9:L10"/>
    <mergeCell ref="M9:M10"/>
    <mergeCell ref="M7:M8"/>
  </mergeCells>
  <conditionalFormatting sqref="D29:F29">
    <cfRule type="expression" dxfId="1" priority="2" stopIfTrue="1">
      <formula>$D$28="Valeur par défaut"</formula>
    </cfRule>
  </conditionalFormatting>
  <conditionalFormatting sqref="D31:F31">
    <cfRule type="expression" dxfId="0" priority="1" stopIfTrue="1">
      <formula>$D$30="Valeur par défaut"</formula>
    </cfRule>
  </conditionalFormatting>
  <dataValidations count="4">
    <dataValidation allowBlank="1" showInputMessage="1" showErrorMessage="1" errorTitle="Département" error="Compris entre 1 et 95" sqref="D45"/>
    <dataValidation type="decimal" operator="greaterThanOrEqual" allowBlank="1" showInputMessage="1" showErrorMessage="1" sqref="D32 D42:D43 D25 D10 D37">
      <formula1>0</formula1>
    </dataValidation>
    <dataValidation type="decimal" operator="greaterThanOrEqual" allowBlank="1" showInputMessage="1" showErrorMessage="1" errorTitle="Surfaces" error="Ne peut être nulle" sqref="D18">
      <formula1>1</formula1>
    </dataValidation>
    <dataValidation allowBlank="1" showInputMessage="1" errorTitle="Département" error="Compris entre 1 et 95" sqref="D9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ELEMENTS!$J$15:$J$28</xm:f>
          </x14:formula1>
          <xm:sqref>D13:F13</xm:sqref>
        </x14:dataValidation>
        <x14:dataValidation type="list" allowBlank="1" showInputMessage="1" showErrorMessage="1">
          <x14:formula1>
            <xm:f>ELEMENTS!$F$3:$F$4</xm:f>
          </x14:formula1>
          <xm:sqref>D14:F14</xm:sqref>
        </x14:dataValidation>
        <x14:dataValidation type="list" allowBlank="1" showInputMessage="1" showErrorMessage="1">
          <x14:formula1>
            <xm:f>ELEMENTS!$F$23:$F$26</xm:f>
          </x14:formula1>
          <xm:sqref>D28:F28 D30:F30</xm:sqref>
        </x14:dataValidation>
        <x14:dataValidation type="list" allowBlank="1" showInputMessage="1" showErrorMessage="1">
          <x14:formula1>
            <xm:f>ELEMENTS!J3:J11</xm:f>
          </x14:formula1>
          <xm:sqref>D35:F35</xm:sqref>
        </x14:dataValidation>
        <x14:dataValidation type="list" allowBlank="1" showInputMessage="1" showErrorMessage="1">
          <x14:formula1>
            <xm:f>ELEMENTS!$F$29:$F$31</xm:f>
          </x14:formula1>
          <xm:sqref>D40:F40</xm:sqref>
        </x14:dataValidation>
        <x14:dataValidation type="list" allowBlank="1" showInputMessage="1" showErrorMessage="1">
          <x14:formula1>
            <xm:f>ELEMENTS!$B$3:$B$98</xm:f>
          </x14:formula1>
          <xm:sqref>D8:F8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B1:T107"/>
  <sheetViews>
    <sheetView zoomScale="70" zoomScaleNormal="70" workbookViewId="0"/>
  </sheetViews>
  <sheetFormatPr baseColWidth="10" defaultRowHeight="15" x14ac:dyDescent="0.25"/>
  <cols>
    <col min="1" max="1" width="3.7109375" style="1" customWidth="1"/>
    <col min="2" max="4" width="11.42578125" style="1"/>
    <col min="5" max="5" width="5" style="1" customWidth="1"/>
    <col min="6" max="6" width="64.85546875" style="1" bestFit="1" customWidth="1"/>
    <col min="7" max="7" width="22" style="1" customWidth="1"/>
    <col min="8" max="8" width="16.140625" style="1" customWidth="1"/>
    <col min="9" max="9" width="9.140625" style="1" customWidth="1"/>
    <col min="10" max="10" width="58" style="1" bestFit="1" customWidth="1"/>
    <col min="11" max="11" width="31.140625" style="1" bestFit="1" customWidth="1"/>
    <col min="12" max="12" width="9.5703125" style="1" bestFit="1" customWidth="1"/>
    <col min="13" max="13" width="16.7109375" style="1" bestFit="1" customWidth="1"/>
    <col min="14" max="14" width="12.5703125" style="1" bestFit="1" customWidth="1"/>
    <col min="15" max="18" width="15.7109375" style="1" customWidth="1"/>
    <col min="19" max="19" width="17.28515625" style="1" bestFit="1" customWidth="1"/>
    <col min="20" max="20" width="23.42578125" style="1" bestFit="1" customWidth="1"/>
    <col min="21" max="16384" width="11.42578125" style="1"/>
  </cols>
  <sheetData>
    <row r="1" spans="2:20" ht="16.5" customHeight="1" x14ac:dyDescent="0.25">
      <c r="J1" s="1">
        <v>1</v>
      </c>
      <c r="K1" s="1">
        <v>2</v>
      </c>
      <c r="L1" s="1">
        <v>3</v>
      </c>
      <c r="M1" s="1">
        <v>4</v>
      </c>
      <c r="N1" s="1">
        <v>5</v>
      </c>
      <c r="O1" s="1">
        <v>6</v>
      </c>
      <c r="P1" s="1">
        <v>7</v>
      </c>
      <c r="Q1" s="1">
        <v>8</v>
      </c>
      <c r="R1" s="1">
        <v>9</v>
      </c>
      <c r="S1" s="1">
        <v>10</v>
      </c>
      <c r="T1" s="1">
        <v>11</v>
      </c>
    </row>
    <row r="2" spans="2:20" x14ac:dyDescent="0.25">
      <c r="B2" s="13" t="s">
        <v>20</v>
      </c>
      <c r="C2" s="13" t="s">
        <v>21</v>
      </c>
      <c r="D2" s="13" t="str">
        <f>VLOOKUP(zone1,C3:D98,2,FALSE)</f>
        <v>H1</v>
      </c>
      <c r="E2" s="11"/>
      <c r="F2" s="51" t="s">
        <v>82</v>
      </c>
      <c r="G2" s="52" t="s">
        <v>123</v>
      </c>
      <c r="H2" s="113"/>
      <c r="J2" s="19" t="s">
        <v>33</v>
      </c>
      <c r="K2" s="20" t="s">
        <v>54</v>
      </c>
      <c r="L2" s="25" t="s">
        <v>70</v>
      </c>
      <c r="M2" s="14" t="s">
        <v>41</v>
      </c>
      <c r="N2" s="14" t="s">
        <v>34</v>
      </c>
      <c r="O2" s="14" t="s">
        <v>35</v>
      </c>
      <c r="P2" s="17" t="s">
        <v>49</v>
      </c>
    </row>
    <row r="3" spans="2:20" x14ac:dyDescent="0.25">
      <c r="B3" s="3">
        <v>1</v>
      </c>
      <c r="C3" s="4" t="s">
        <v>22</v>
      </c>
      <c r="D3" s="4" t="str">
        <f>VLOOKUP(C3,$C$100:$D$107,2,FALSE)</f>
        <v>H1</v>
      </c>
      <c r="E3" s="12"/>
      <c r="F3" s="2" t="s">
        <v>121</v>
      </c>
      <c r="G3" s="85">
        <v>36</v>
      </c>
      <c r="H3" s="115"/>
      <c r="J3" s="10" t="s">
        <v>88</v>
      </c>
      <c r="K3" s="2" t="s">
        <v>36</v>
      </c>
      <c r="L3" s="18">
        <v>0.91</v>
      </c>
      <c r="M3" s="15">
        <f>IF(J3=Energie,TITREV!$D$36*P3,0)</f>
        <v>0</v>
      </c>
      <c r="N3" s="76">
        <f>L3*M3</f>
        <v>0</v>
      </c>
      <c r="O3" s="6">
        <v>1</v>
      </c>
      <c r="P3" s="5">
        <v>0.01</v>
      </c>
    </row>
    <row r="4" spans="2:20" x14ac:dyDescent="0.25">
      <c r="B4" s="3">
        <v>2</v>
      </c>
      <c r="C4" s="4" t="s">
        <v>23</v>
      </c>
      <c r="D4" s="4" t="str">
        <f t="shared" ref="D4:D67" si="0">VLOOKUP(C4,$C$100:$D$107,2,FALSE)</f>
        <v>H1</v>
      </c>
      <c r="E4" s="12"/>
      <c r="F4" s="5" t="s">
        <v>122</v>
      </c>
      <c r="G4" s="85">
        <v>52</v>
      </c>
      <c r="H4" s="115"/>
      <c r="J4" s="10" t="s">
        <v>86</v>
      </c>
      <c r="K4" s="2" t="s">
        <v>36</v>
      </c>
      <c r="L4" s="18">
        <v>0.86</v>
      </c>
      <c r="M4" s="15">
        <f>IF(J4=Energie,TITREV!$D$36*P4,0)</f>
        <v>0</v>
      </c>
      <c r="N4" s="76">
        <f>L4*M4</f>
        <v>0</v>
      </c>
      <c r="O4" s="6">
        <v>1</v>
      </c>
      <c r="P4" s="5">
        <v>0.01</v>
      </c>
    </row>
    <row r="5" spans="2:20" x14ac:dyDescent="0.25">
      <c r="B5" s="3">
        <v>3</v>
      </c>
      <c r="C5" s="4" t="s">
        <v>22</v>
      </c>
      <c r="D5" s="4" t="str">
        <f t="shared" si="0"/>
        <v>H1</v>
      </c>
      <c r="E5" s="12"/>
      <c r="F5" s="54"/>
      <c r="G5" s="114"/>
      <c r="H5" s="115"/>
      <c r="J5" s="10" t="s">
        <v>87</v>
      </c>
      <c r="K5" s="2" t="s">
        <v>36</v>
      </c>
      <c r="L5" s="18">
        <v>0.93</v>
      </c>
      <c r="M5" s="15">
        <f>IF(J5=Energie,TITREV!$D$36*P5,0)</f>
        <v>0</v>
      </c>
      <c r="N5" s="76">
        <f>L5*M5</f>
        <v>0</v>
      </c>
      <c r="O5" s="6">
        <v>1</v>
      </c>
      <c r="P5" s="5">
        <v>0.01</v>
      </c>
    </row>
    <row r="6" spans="2:20" x14ac:dyDescent="0.25">
      <c r="B6" s="3">
        <v>4</v>
      </c>
      <c r="C6" s="4" t="s">
        <v>24</v>
      </c>
      <c r="D6" s="4" t="str">
        <f t="shared" si="0"/>
        <v>H2</v>
      </c>
      <c r="E6" s="12"/>
      <c r="F6" s="54"/>
      <c r="G6" s="114"/>
      <c r="H6" s="115"/>
      <c r="J6" s="10" t="s">
        <v>13</v>
      </c>
      <c r="K6" s="5" t="s">
        <v>42</v>
      </c>
      <c r="L6" s="18">
        <v>1</v>
      </c>
      <c r="M6" s="15">
        <v>1</v>
      </c>
      <c r="N6" s="76">
        <f t="shared" ref="N6:N11" si="1">L6*M6</f>
        <v>1</v>
      </c>
      <c r="O6" s="6">
        <v>2.58</v>
      </c>
      <c r="P6" s="2">
        <v>0.01</v>
      </c>
    </row>
    <row r="7" spans="2:20" x14ac:dyDescent="0.25">
      <c r="B7" s="3">
        <v>5</v>
      </c>
      <c r="C7" s="4" t="s">
        <v>22</v>
      </c>
      <c r="D7" s="4" t="str">
        <f t="shared" si="0"/>
        <v>H1</v>
      </c>
      <c r="E7" s="12"/>
      <c r="F7" s="54"/>
      <c r="G7" s="118"/>
      <c r="H7" s="118"/>
      <c r="J7" s="10" t="s">
        <v>14</v>
      </c>
      <c r="K7" s="2" t="s">
        <v>36</v>
      </c>
      <c r="L7" s="18">
        <v>0.9</v>
      </c>
      <c r="M7" s="15">
        <f>IF(J7=Energie,TITREV!$D$36*P7,0)</f>
        <v>0</v>
      </c>
      <c r="N7" s="76">
        <f>L7*M7</f>
        <v>0</v>
      </c>
      <c r="O7" s="6">
        <v>1</v>
      </c>
      <c r="P7" s="2">
        <v>0.01</v>
      </c>
    </row>
    <row r="8" spans="2:20" ht="15.75" customHeight="1" x14ac:dyDescent="0.25">
      <c r="B8" s="3">
        <v>6</v>
      </c>
      <c r="C8" s="4" t="s">
        <v>25</v>
      </c>
      <c r="D8" s="4" t="str">
        <f t="shared" si="0"/>
        <v>H3</v>
      </c>
      <c r="E8" s="12"/>
      <c r="F8" s="107"/>
      <c r="G8" s="107"/>
      <c r="H8" s="107"/>
      <c r="J8" s="9" t="s">
        <v>44</v>
      </c>
      <c r="K8" s="5" t="s">
        <v>48</v>
      </c>
      <c r="L8" s="18">
        <v>0.68</v>
      </c>
      <c r="M8" s="15">
        <f>IF(J8=Energie,TITREV!$D$36*P8,0)</f>
        <v>0</v>
      </c>
      <c r="N8" s="76">
        <f>L8*M8</f>
        <v>0</v>
      </c>
      <c r="O8" s="7">
        <v>2.58</v>
      </c>
      <c r="P8" s="2">
        <v>1</v>
      </c>
    </row>
    <row r="9" spans="2:20" x14ac:dyDescent="0.25">
      <c r="B9" s="3">
        <v>7</v>
      </c>
      <c r="C9" s="4" t="s">
        <v>24</v>
      </c>
      <c r="D9" s="4" t="str">
        <f t="shared" si="0"/>
        <v>H2</v>
      </c>
      <c r="E9" s="12"/>
      <c r="F9" s="112"/>
      <c r="G9" s="113"/>
      <c r="H9" s="113"/>
      <c r="J9" s="9" t="s">
        <v>53</v>
      </c>
      <c r="K9" s="5" t="s">
        <v>48</v>
      </c>
      <c r="L9" s="18">
        <v>0.63</v>
      </c>
      <c r="M9" s="15">
        <f>IF(J9=Energie,TITREV!$D$36*P9,0)</f>
        <v>0</v>
      </c>
      <c r="N9" s="76">
        <f t="shared" si="1"/>
        <v>0</v>
      </c>
      <c r="O9" s="7">
        <v>2.58</v>
      </c>
      <c r="P9" s="5">
        <v>1</v>
      </c>
    </row>
    <row r="10" spans="2:20" x14ac:dyDescent="0.25">
      <c r="B10" s="3">
        <v>8</v>
      </c>
      <c r="C10" s="4" t="s">
        <v>26</v>
      </c>
      <c r="D10" s="4" t="str">
        <f t="shared" si="0"/>
        <v>H1</v>
      </c>
      <c r="E10" s="12"/>
      <c r="F10" s="54"/>
      <c r="G10" s="116"/>
      <c r="H10" s="116"/>
      <c r="J10" s="10" t="s">
        <v>12</v>
      </c>
      <c r="K10" s="5" t="s">
        <v>42</v>
      </c>
      <c r="L10" s="18">
        <v>0.98</v>
      </c>
      <c r="M10" s="15">
        <v>1</v>
      </c>
      <c r="N10" s="76">
        <f t="shared" si="1"/>
        <v>0.98</v>
      </c>
      <c r="O10" s="6">
        <v>1</v>
      </c>
      <c r="P10" s="5">
        <v>0.01</v>
      </c>
    </row>
    <row r="11" spans="2:20" x14ac:dyDescent="0.25">
      <c r="B11" s="3">
        <v>9</v>
      </c>
      <c r="C11" s="4" t="s">
        <v>27</v>
      </c>
      <c r="D11" s="4" t="str">
        <f t="shared" si="0"/>
        <v>H2</v>
      </c>
      <c r="E11" s="12"/>
      <c r="F11" s="54"/>
      <c r="G11" s="116"/>
      <c r="H11" s="116"/>
      <c r="J11" s="9" t="s">
        <v>80</v>
      </c>
      <c r="K11" s="5" t="s">
        <v>85</v>
      </c>
      <c r="L11" s="18">
        <v>1</v>
      </c>
      <c r="M11" s="15">
        <f>IF(J11=Energie,TITREV!$D$36*P11,0)</f>
        <v>0</v>
      </c>
      <c r="N11" s="76">
        <f t="shared" si="1"/>
        <v>0</v>
      </c>
      <c r="O11" s="5">
        <v>2.58</v>
      </c>
      <c r="P11" s="5">
        <v>1</v>
      </c>
    </row>
    <row r="12" spans="2:20" x14ac:dyDescent="0.25">
      <c r="B12" s="3">
        <v>10</v>
      </c>
      <c r="C12" s="4" t="s">
        <v>26</v>
      </c>
      <c r="D12" s="4" t="str">
        <f t="shared" si="0"/>
        <v>H1</v>
      </c>
      <c r="E12" s="12"/>
      <c r="F12" s="54"/>
      <c r="G12" s="116"/>
      <c r="H12" s="116"/>
      <c r="J12" s="54"/>
      <c r="K12" s="55"/>
      <c r="L12" s="55"/>
      <c r="M12" s="55"/>
    </row>
    <row r="13" spans="2:20" x14ac:dyDescent="0.25">
      <c r="B13" s="3">
        <v>11</v>
      </c>
      <c r="C13" s="4" t="s">
        <v>25</v>
      </c>
      <c r="D13" s="4" t="str">
        <f t="shared" si="0"/>
        <v>H3</v>
      </c>
      <c r="E13" s="12"/>
      <c r="F13" s="54"/>
      <c r="G13" s="117"/>
      <c r="H13" s="117"/>
      <c r="J13" s="57"/>
      <c r="K13" s="57"/>
      <c r="L13" s="57"/>
      <c r="M13" s="57"/>
      <c r="N13" s="57"/>
      <c r="O13" s="111"/>
      <c r="P13" s="106"/>
      <c r="Q13" s="106"/>
      <c r="R13" s="106"/>
      <c r="S13" s="99"/>
      <c r="T13" s="107"/>
    </row>
    <row r="14" spans="2:20" x14ac:dyDescent="0.25">
      <c r="B14" s="3">
        <v>12</v>
      </c>
      <c r="C14" s="4" t="s">
        <v>27</v>
      </c>
      <c r="D14" s="4" t="str">
        <f t="shared" si="0"/>
        <v>H2</v>
      </c>
      <c r="E14" s="12"/>
      <c r="J14" s="59" t="s">
        <v>82</v>
      </c>
      <c r="K14" s="60" t="s">
        <v>3</v>
      </c>
      <c r="L14" s="104" t="s">
        <v>58</v>
      </c>
      <c r="M14" s="103" t="s">
        <v>59</v>
      </c>
      <c r="N14" s="103" t="s">
        <v>32</v>
      </c>
      <c r="O14" s="108"/>
      <c r="P14" s="108"/>
      <c r="Q14" s="108"/>
      <c r="R14" s="108"/>
      <c r="S14" s="99"/>
      <c r="T14" s="107"/>
    </row>
    <row r="15" spans="2:20" ht="15" customHeight="1" x14ac:dyDescent="0.25">
      <c r="B15" s="3">
        <v>13</v>
      </c>
      <c r="C15" s="4" t="s">
        <v>25</v>
      </c>
      <c r="D15" s="4" t="str">
        <f t="shared" si="0"/>
        <v>H3</v>
      </c>
      <c r="E15" s="12"/>
      <c r="F15" s="51" t="s">
        <v>63</v>
      </c>
      <c r="G15" s="31" t="s">
        <v>64</v>
      </c>
      <c r="H15" s="31" t="s">
        <v>68</v>
      </c>
      <c r="J15" s="61" t="s">
        <v>51</v>
      </c>
      <c r="K15" s="62" t="s">
        <v>47</v>
      </c>
      <c r="L15" s="41">
        <f>SU</f>
        <v>1280</v>
      </c>
      <c r="M15" s="105">
        <f>IF(SU/Nb&gt;27,(470.9*LN(SU/Nb)-1075)/(SU/Nb),17.7)</f>
        <v>16.230106044045343</v>
      </c>
      <c r="N15" s="63">
        <v>0.66</v>
      </c>
      <c r="O15" s="122"/>
      <c r="P15" s="109"/>
      <c r="Q15" s="109"/>
      <c r="R15" s="109"/>
      <c r="S15" s="110"/>
      <c r="T15" s="107"/>
    </row>
    <row r="16" spans="2:20" x14ac:dyDescent="0.25">
      <c r="B16" s="3">
        <v>14</v>
      </c>
      <c r="C16" s="4" t="s">
        <v>23</v>
      </c>
      <c r="D16" s="4" t="str">
        <f t="shared" si="0"/>
        <v>H1</v>
      </c>
      <c r="E16" s="12"/>
      <c r="F16" s="22" t="s">
        <v>65</v>
      </c>
      <c r="G16" s="161">
        <v>1.6000000000000001E-3</v>
      </c>
      <c r="H16" s="161"/>
      <c r="J16" s="61" t="s">
        <v>52</v>
      </c>
      <c r="K16" s="58" t="s">
        <v>50</v>
      </c>
      <c r="L16" s="41">
        <f>SU</f>
        <v>1280</v>
      </c>
      <c r="M16" s="105">
        <f>IF(SU/Nb&gt;27,(470.9*LN(SU/Nb)-1075)/(SU/Nb),17.7)</f>
        <v>16.230106044045343</v>
      </c>
      <c r="N16" s="63">
        <v>0.66</v>
      </c>
      <c r="O16" s="122"/>
      <c r="P16" s="109"/>
      <c r="Q16" s="109"/>
      <c r="R16" s="109"/>
      <c r="S16" s="110"/>
      <c r="T16" s="107"/>
    </row>
    <row r="17" spans="2:20" x14ac:dyDescent="0.25">
      <c r="B17" s="3">
        <v>15</v>
      </c>
      <c r="C17" s="4" t="s">
        <v>22</v>
      </c>
      <c r="D17" s="4" t="str">
        <f t="shared" si="0"/>
        <v>H1</v>
      </c>
      <c r="E17" s="12"/>
      <c r="F17" s="22" t="s">
        <v>66</v>
      </c>
      <c r="G17" s="23">
        <v>3.0000000000000001E-3</v>
      </c>
      <c r="H17" s="24" t="s">
        <v>67</v>
      </c>
      <c r="J17" s="58" t="s">
        <v>109</v>
      </c>
      <c r="K17" s="58" t="s">
        <v>56</v>
      </c>
      <c r="L17" s="64">
        <f t="shared" ref="L17:L28" si="2">Nb</f>
        <v>30</v>
      </c>
      <c r="M17" s="58">
        <v>330</v>
      </c>
      <c r="N17" s="63">
        <v>0.66</v>
      </c>
      <c r="O17" s="122"/>
      <c r="P17" s="109"/>
      <c r="Q17" s="109"/>
      <c r="R17" s="109"/>
      <c r="S17" s="110"/>
      <c r="T17" s="107"/>
    </row>
    <row r="18" spans="2:20" x14ac:dyDescent="0.25">
      <c r="B18" s="3">
        <v>16</v>
      </c>
      <c r="C18" s="4" t="s">
        <v>28</v>
      </c>
      <c r="D18" s="4" t="str">
        <f t="shared" si="0"/>
        <v>H2</v>
      </c>
      <c r="E18" s="12"/>
      <c r="J18" s="58" t="s">
        <v>110</v>
      </c>
      <c r="K18" s="58" t="s">
        <v>56</v>
      </c>
      <c r="L18" s="64">
        <f t="shared" si="2"/>
        <v>30</v>
      </c>
      <c r="M18" s="58">
        <v>1050</v>
      </c>
      <c r="N18" s="63">
        <v>0.42</v>
      </c>
      <c r="O18" s="122"/>
      <c r="P18" s="109"/>
      <c r="Q18" s="109"/>
      <c r="R18" s="109"/>
      <c r="S18" s="110"/>
      <c r="T18" s="107"/>
    </row>
    <row r="19" spans="2:20" x14ac:dyDescent="0.25">
      <c r="B19" s="3">
        <v>17</v>
      </c>
      <c r="C19" s="4" t="s">
        <v>28</v>
      </c>
      <c r="D19" s="4" t="str">
        <f t="shared" si="0"/>
        <v>H2</v>
      </c>
      <c r="E19" s="12"/>
      <c r="F19" s="51" t="s">
        <v>144</v>
      </c>
      <c r="G19" s="31" t="s">
        <v>64</v>
      </c>
      <c r="H19" s="31" t="s">
        <v>68</v>
      </c>
      <c r="J19" s="58" t="s">
        <v>111</v>
      </c>
      <c r="K19" s="58" t="s">
        <v>56</v>
      </c>
      <c r="L19" s="64">
        <f t="shared" si="2"/>
        <v>30</v>
      </c>
      <c r="M19" s="58">
        <v>665</v>
      </c>
      <c r="N19" s="63">
        <v>0.66</v>
      </c>
      <c r="O19" s="122"/>
      <c r="P19" s="109"/>
      <c r="Q19" s="109"/>
      <c r="R19" s="109"/>
      <c r="S19" s="110"/>
      <c r="T19" s="107"/>
    </row>
    <row r="20" spans="2:20" ht="15" customHeight="1" x14ac:dyDescent="0.25">
      <c r="B20" s="3">
        <v>18</v>
      </c>
      <c r="C20" s="4" t="s">
        <v>28</v>
      </c>
      <c r="D20" s="4" t="str">
        <f t="shared" si="0"/>
        <v>H2</v>
      </c>
      <c r="E20" s="12"/>
      <c r="F20" s="22" t="s">
        <v>69</v>
      </c>
      <c r="G20" s="161">
        <v>5.0000000000000001E-4</v>
      </c>
      <c r="H20" s="161"/>
      <c r="J20" s="58" t="s">
        <v>112</v>
      </c>
      <c r="K20" s="58" t="s">
        <v>55</v>
      </c>
      <c r="L20" s="64">
        <f t="shared" si="2"/>
        <v>30</v>
      </c>
      <c r="M20" s="58">
        <v>665</v>
      </c>
      <c r="N20" s="63">
        <v>0.7</v>
      </c>
      <c r="O20" s="122"/>
      <c r="P20" s="109"/>
      <c r="Q20" s="109"/>
      <c r="R20" s="109"/>
      <c r="S20" s="110"/>
      <c r="T20" s="107"/>
    </row>
    <row r="21" spans="2:20" ht="15" customHeight="1" x14ac:dyDescent="0.25">
      <c r="B21" s="3">
        <v>19</v>
      </c>
      <c r="C21" s="4" t="s">
        <v>22</v>
      </c>
      <c r="D21" s="4" t="str">
        <f t="shared" si="0"/>
        <v>H1</v>
      </c>
      <c r="E21" s="12"/>
      <c r="J21" s="58" t="s">
        <v>113</v>
      </c>
      <c r="K21" s="58" t="s">
        <v>55</v>
      </c>
      <c r="L21" s="64">
        <f t="shared" si="2"/>
        <v>30</v>
      </c>
      <c r="M21" s="58">
        <v>830</v>
      </c>
      <c r="N21" s="63">
        <v>0.56000000000000005</v>
      </c>
      <c r="O21" s="122"/>
      <c r="P21" s="109"/>
      <c r="Q21" s="109"/>
      <c r="R21" s="109"/>
      <c r="S21" s="110"/>
      <c r="T21" s="107"/>
    </row>
    <row r="22" spans="2:20" ht="15" customHeight="1" x14ac:dyDescent="0.25">
      <c r="B22" s="3" t="s">
        <v>29</v>
      </c>
      <c r="C22" s="4" t="s">
        <v>25</v>
      </c>
      <c r="D22" s="4" t="str">
        <f t="shared" si="0"/>
        <v>H3</v>
      </c>
      <c r="E22" s="12"/>
      <c r="F22" s="51" t="s">
        <v>79</v>
      </c>
      <c r="G22" s="52" t="s">
        <v>92</v>
      </c>
      <c r="J22" s="58" t="s">
        <v>114</v>
      </c>
      <c r="K22" s="58" t="s">
        <v>55</v>
      </c>
      <c r="L22" s="64">
        <f t="shared" si="2"/>
        <v>30</v>
      </c>
      <c r="M22" s="58">
        <v>910</v>
      </c>
      <c r="N22" s="63">
        <v>0.75</v>
      </c>
      <c r="O22" s="122"/>
      <c r="P22" s="109"/>
      <c r="Q22" s="109"/>
      <c r="R22" s="109"/>
      <c r="S22" s="110"/>
      <c r="T22" s="107"/>
    </row>
    <row r="23" spans="2:20" ht="15" customHeight="1" x14ac:dyDescent="0.25">
      <c r="B23" s="3" t="s">
        <v>30</v>
      </c>
      <c r="C23" s="4" t="s">
        <v>25</v>
      </c>
      <c r="D23" s="4" t="str">
        <f t="shared" si="0"/>
        <v>H3</v>
      </c>
      <c r="E23" s="12"/>
      <c r="F23" s="2" t="s">
        <v>78</v>
      </c>
      <c r="G23" s="85">
        <v>1</v>
      </c>
      <c r="J23" s="65" t="s">
        <v>115</v>
      </c>
      <c r="K23" s="58" t="s">
        <v>55</v>
      </c>
      <c r="L23" s="64">
        <f t="shared" si="2"/>
        <v>30</v>
      </c>
      <c r="M23" s="65">
        <v>1075</v>
      </c>
      <c r="N23" s="63">
        <v>0.63</v>
      </c>
      <c r="O23" s="122"/>
      <c r="P23" s="109"/>
      <c r="Q23" s="109"/>
      <c r="R23" s="109"/>
      <c r="S23" s="110"/>
      <c r="T23" s="107"/>
    </row>
    <row r="24" spans="2:20" ht="15" customHeight="1" x14ac:dyDescent="0.25">
      <c r="B24" s="3">
        <v>21</v>
      </c>
      <c r="C24" s="4" t="s">
        <v>22</v>
      </c>
      <c r="D24" s="4" t="str">
        <f t="shared" si="0"/>
        <v>H1</v>
      </c>
      <c r="E24" s="12"/>
      <c r="F24" s="5" t="s">
        <v>138</v>
      </c>
      <c r="G24" s="85">
        <v>2</v>
      </c>
      <c r="J24" s="65" t="s">
        <v>116</v>
      </c>
      <c r="K24" s="58" t="s">
        <v>55</v>
      </c>
      <c r="L24" s="64">
        <f t="shared" si="2"/>
        <v>30</v>
      </c>
      <c r="M24" s="65">
        <v>1160</v>
      </c>
      <c r="N24" s="63">
        <v>0.8</v>
      </c>
      <c r="O24" s="122"/>
      <c r="P24" s="109"/>
      <c r="Q24" s="109"/>
      <c r="R24" s="109"/>
      <c r="S24" s="110"/>
      <c r="T24" s="107"/>
    </row>
    <row r="25" spans="2:20" ht="15" customHeight="1" x14ac:dyDescent="0.25">
      <c r="B25" s="3">
        <v>22</v>
      </c>
      <c r="C25" s="4" t="s">
        <v>31</v>
      </c>
      <c r="D25" s="4" t="str">
        <f t="shared" si="0"/>
        <v>H2</v>
      </c>
      <c r="E25" s="12"/>
      <c r="F25" s="5" t="s">
        <v>77</v>
      </c>
      <c r="G25" s="85">
        <v>3</v>
      </c>
      <c r="J25" s="65" t="s">
        <v>117</v>
      </c>
      <c r="K25" s="58" t="s">
        <v>55</v>
      </c>
      <c r="L25" s="64">
        <f t="shared" si="2"/>
        <v>30</v>
      </c>
      <c r="M25" s="65">
        <v>1325</v>
      </c>
      <c r="N25" s="63">
        <v>0.7</v>
      </c>
      <c r="O25" s="122"/>
      <c r="P25" s="109"/>
      <c r="Q25" s="109"/>
      <c r="R25" s="109"/>
      <c r="S25" s="110"/>
      <c r="T25" s="107"/>
    </row>
    <row r="26" spans="2:20" ht="15" customHeight="1" x14ac:dyDescent="0.25">
      <c r="B26" s="3">
        <v>23</v>
      </c>
      <c r="C26" s="4" t="s">
        <v>22</v>
      </c>
      <c r="D26" s="4" t="str">
        <f t="shared" si="0"/>
        <v>H1</v>
      </c>
      <c r="E26" s="12"/>
      <c r="F26" s="5" t="s">
        <v>90</v>
      </c>
      <c r="G26" s="85">
        <v>4</v>
      </c>
      <c r="J26" s="58" t="s">
        <v>118</v>
      </c>
      <c r="K26" s="58" t="s">
        <v>55</v>
      </c>
      <c r="L26" s="64">
        <f t="shared" si="2"/>
        <v>30</v>
      </c>
      <c r="M26" s="65">
        <v>1405</v>
      </c>
      <c r="N26" s="63">
        <v>0.85</v>
      </c>
      <c r="O26" s="122"/>
      <c r="P26" s="109"/>
      <c r="Q26" s="109"/>
      <c r="R26" s="109"/>
      <c r="S26" s="110"/>
      <c r="T26" s="107"/>
    </row>
    <row r="27" spans="2:20" ht="15" customHeight="1" x14ac:dyDescent="0.25">
      <c r="B27" s="3">
        <v>24</v>
      </c>
      <c r="C27" s="4" t="s">
        <v>27</v>
      </c>
      <c r="D27" s="4" t="str">
        <f t="shared" si="0"/>
        <v>H2</v>
      </c>
      <c r="E27" s="12"/>
      <c r="J27" s="2" t="s">
        <v>119</v>
      </c>
      <c r="K27" s="58" t="s">
        <v>55</v>
      </c>
      <c r="L27" s="64">
        <f t="shared" si="2"/>
        <v>30</v>
      </c>
      <c r="M27" s="65">
        <v>1570</v>
      </c>
      <c r="N27" s="63">
        <v>0.76</v>
      </c>
      <c r="O27" s="122"/>
      <c r="P27" s="107"/>
      <c r="Q27" s="107"/>
      <c r="R27" s="107"/>
      <c r="S27" s="107"/>
      <c r="T27" s="107"/>
    </row>
    <row r="28" spans="2:20" ht="15" customHeight="1" x14ac:dyDescent="0.25">
      <c r="B28" s="3">
        <v>25</v>
      </c>
      <c r="C28" s="4" t="s">
        <v>22</v>
      </c>
      <c r="D28" s="4" t="str">
        <f t="shared" si="0"/>
        <v>H1</v>
      </c>
      <c r="E28" s="12"/>
      <c r="F28" s="51" t="s">
        <v>100</v>
      </c>
      <c r="G28" s="52" t="s">
        <v>105</v>
      </c>
      <c r="J28" s="2" t="s">
        <v>120</v>
      </c>
      <c r="K28" s="58" t="s">
        <v>57</v>
      </c>
      <c r="L28" s="64">
        <f t="shared" si="2"/>
        <v>30</v>
      </c>
      <c r="M28" s="65">
        <v>1200</v>
      </c>
      <c r="N28" s="63">
        <v>1</v>
      </c>
      <c r="O28" s="122"/>
      <c r="P28" s="107"/>
      <c r="Q28" s="107"/>
      <c r="R28" s="107"/>
      <c r="S28" s="107"/>
      <c r="T28" s="107"/>
    </row>
    <row r="29" spans="2:20" ht="15" customHeight="1" x14ac:dyDescent="0.25">
      <c r="B29" s="3">
        <v>26</v>
      </c>
      <c r="C29" s="4" t="s">
        <v>24</v>
      </c>
      <c r="D29" s="4" t="str">
        <f t="shared" si="0"/>
        <v>H2</v>
      </c>
      <c r="E29" s="12"/>
      <c r="F29" s="83" t="s">
        <v>102</v>
      </c>
      <c r="G29" s="85">
        <v>0</v>
      </c>
      <c r="P29" s="107"/>
      <c r="Q29" s="107"/>
      <c r="R29" s="107"/>
      <c r="S29" s="107"/>
      <c r="T29" s="107"/>
    </row>
    <row r="30" spans="2:20" ht="15" customHeight="1" x14ac:dyDescent="0.25">
      <c r="B30" s="3">
        <v>27</v>
      </c>
      <c r="C30" s="4" t="s">
        <v>23</v>
      </c>
      <c r="D30" s="4" t="str">
        <f t="shared" si="0"/>
        <v>H1</v>
      </c>
      <c r="E30" s="12"/>
      <c r="F30" s="96" t="s">
        <v>103</v>
      </c>
      <c r="G30" s="121">
        <f>0.25*Napp_récupérateur*Csimultanéité</f>
        <v>1.1141720290623112</v>
      </c>
    </row>
    <row r="31" spans="2:20" ht="15" customHeight="1" x14ac:dyDescent="0.25">
      <c r="B31" s="3">
        <v>28</v>
      </c>
      <c r="C31" s="4" t="s">
        <v>23</v>
      </c>
      <c r="D31" s="4" t="str">
        <f t="shared" si="0"/>
        <v>H1</v>
      </c>
      <c r="E31" s="12"/>
      <c r="F31" s="96" t="s">
        <v>104</v>
      </c>
      <c r="G31" s="85">
        <f>TITREV!D41</f>
        <v>1</v>
      </c>
      <c r="K31" s="84"/>
      <c r="L31" s="119"/>
      <c r="M31" s="55"/>
      <c r="N31" s="119"/>
    </row>
    <row r="32" spans="2:20" ht="15" customHeight="1" x14ac:dyDescent="0.25">
      <c r="B32" s="3">
        <v>29</v>
      </c>
      <c r="C32" s="4" t="s">
        <v>31</v>
      </c>
      <c r="D32" s="4" t="str">
        <f t="shared" si="0"/>
        <v>H2</v>
      </c>
      <c r="E32" s="12"/>
      <c r="L32" s="119"/>
      <c r="M32" s="55"/>
      <c r="N32" s="119"/>
    </row>
    <row r="33" spans="2:14" ht="15" customHeight="1" x14ac:dyDescent="0.25">
      <c r="B33" s="3">
        <v>30</v>
      </c>
      <c r="C33" s="4" t="s">
        <v>25</v>
      </c>
      <c r="D33" s="4" t="str">
        <f t="shared" si="0"/>
        <v>H3</v>
      </c>
      <c r="E33" s="12"/>
      <c r="L33" s="119"/>
      <c r="M33" s="55"/>
      <c r="N33" s="119"/>
    </row>
    <row r="34" spans="2:14" ht="15" customHeight="1" x14ac:dyDescent="0.25">
      <c r="B34" s="3">
        <v>31</v>
      </c>
      <c r="C34" s="4" t="s">
        <v>27</v>
      </c>
      <c r="D34" s="4" t="str">
        <f t="shared" si="0"/>
        <v>H2</v>
      </c>
      <c r="E34" s="12"/>
      <c r="L34" s="119"/>
      <c r="M34" s="55"/>
      <c r="N34" s="119"/>
    </row>
    <row r="35" spans="2:14" x14ac:dyDescent="0.25">
      <c r="B35" s="3">
        <v>32</v>
      </c>
      <c r="C35" s="4" t="s">
        <v>27</v>
      </c>
      <c r="D35" s="4" t="str">
        <f t="shared" si="0"/>
        <v>H2</v>
      </c>
      <c r="E35" s="12"/>
      <c r="L35" s="119"/>
      <c r="M35" s="55"/>
      <c r="N35" s="119"/>
    </row>
    <row r="36" spans="2:14" x14ac:dyDescent="0.25">
      <c r="B36" s="3">
        <v>33</v>
      </c>
      <c r="C36" s="4" t="s">
        <v>27</v>
      </c>
      <c r="D36" s="4" t="str">
        <f t="shared" si="0"/>
        <v>H2</v>
      </c>
      <c r="E36" s="12"/>
      <c r="L36" s="119"/>
      <c r="M36" s="55"/>
      <c r="N36" s="119"/>
    </row>
    <row r="37" spans="2:14" x14ac:dyDescent="0.25">
      <c r="B37" s="3">
        <v>34</v>
      </c>
      <c r="C37" s="4" t="s">
        <v>25</v>
      </c>
      <c r="D37" s="4" t="str">
        <f t="shared" si="0"/>
        <v>H3</v>
      </c>
      <c r="E37" s="12"/>
      <c r="L37" s="119"/>
      <c r="M37" s="55"/>
      <c r="N37" s="119"/>
    </row>
    <row r="38" spans="2:14" x14ac:dyDescent="0.25">
      <c r="B38" s="3">
        <v>35</v>
      </c>
      <c r="C38" s="4" t="s">
        <v>31</v>
      </c>
      <c r="D38" s="4" t="str">
        <f t="shared" si="0"/>
        <v>H2</v>
      </c>
      <c r="E38" s="12"/>
      <c r="L38" s="119"/>
      <c r="M38" s="55"/>
      <c r="N38" s="119"/>
    </row>
    <row r="39" spans="2:14" x14ac:dyDescent="0.25">
      <c r="B39" s="3">
        <v>36</v>
      </c>
      <c r="C39" s="4" t="s">
        <v>28</v>
      </c>
      <c r="D39" s="4" t="str">
        <f t="shared" si="0"/>
        <v>H2</v>
      </c>
      <c r="E39" s="12"/>
      <c r="L39" s="119"/>
      <c r="M39" s="55"/>
      <c r="N39" s="119"/>
    </row>
    <row r="40" spans="2:14" x14ac:dyDescent="0.25">
      <c r="B40" s="3">
        <v>37</v>
      </c>
      <c r="C40" s="4" t="s">
        <v>28</v>
      </c>
      <c r="D40" s="4" t="str">
        <f t="shared" si="0"/>
        <v>H2</v>
      </c>
      <c r="E40" s="12"/>
    </row>
    <row r="41" spans="2:14" x14ac:dyDescent="0.25">
      <c r="B41" s="3">
        <v>38</v>
      </c>
      <c r="C41" s="4" t="s">
        <v>22</v>
      </c>
      <c r="D41" s="4" t="str">
        <f t="shared" si="0"/>
        <v>H1</v>
      </c>
      <c r="E41" s="12"/>
    </row>
    <row r="42" spans="2:14" x14ac:dyDescent="0.25">
      <c r="B42" s="3">
        <v>39</v>
      </c>
      <c r="C42" s="4" t="s">
        <v>22</v>
      </c>
      <c r="D42" s="4" t="str">
        <f t="shared" si="0"/>
        <v>H1</v>
      </c>
      <c r="E42" s="12"/>
    </row>
    <row r="43" spans="2:14" x14ac:dyDescent="0.25">
      <c r="B43" s="3">
        <v>40</v>
      </c>
      <c r="C43" s="4" t="s">
        <v>27</v>
      </c>
      <c r="D43" s="4" t="str">
        <f t="shared" si="0"/>
        <v>H2</v>
      </c>
      <c r="E43" s="12"/>
    </row>
    <row r="44" spans="2:14" x14ac:dyDescent="0.25">
      <c r="B44" s="3">
        <v>41</v>
      </c>
      <c r="C44" s="4" t="s">
        <v>28</v>
      </c>
      <c r="D44" s="4" t="str">
        <f t="shared" si="0"/>
        <v>H2</v>
      </c>
      <c r="E44" s="12"/>
    </row>
    <row r="45" spans="2:14" x14ac:dyDescent="0.25">
      <c r="B45" s="3">
        <v>42</v>
      </c>
      <c r="C45" s="4" t="s">
        <v>22</v>
      </c>
      <c r="D45" s="4" t="str">
        <f t="shared" si="0"/>
        <v>H1</v>
      </c>
      <c r="E45" s="12"/>
    </row>
    <row r="46" spans="2:14" x14ac:dyDescent="0.25">
      <c r="B46" s="3">
        <v>43</v>
      </c>
      <c r="C46" s="4" t="s">
        <v>22</v>
      </c>
      <c r="D46" s="4" t="str">
        <f t="shared" si="0"/>
        <v>H1</v>
      </c>
      <c r="E46" s="12"/>
    </row>
    <row r="47" spans="2:14" x14ac:dyDescent="0.25">
      <c r="B47" s="3">
        <v>44</v>
      </c>
      <c r="C47" s="4" t="s">
        <v>28</v>
      </c>
      <c r="D47" s="4" t="str">
        <f t="shared" si="0"/>
        <v>H2</v>
      </c>
      <c r="E47" s="12"/>
      <c r="F47" s="12"/>
      <c r="G47" s="12"/>
    </row>
    <row r="48" spans="2:14" x14ac:dyDescent="0.25">
      <c r="B48" s="3">
        <v>45</v>
      </c>
      <c r="C48" s="4" t="s">
        <v>26</v>
      </c>
      <c r="D48" s="4" t="str">
        <f t="shared" si="0"/>
        <v>H1</v>
      </c>
      <c r="E48" s="12"/>
      <c r="F48" s="12"/>
      <c r="G48" s="12"/>
    </row>
    <row r="49" spans="2:7" x14ac:dyDescent="0.25">
      <c r="B49" s="3">
        <v>46</v>
      </c>
      <c r="C49" s="4" t="s">
        <v>27</v>
      </c>
      <c r="D49" s="4" t="str">
        <f t="shared" si="0"/>
        <v>H2</v>
      </c>
      <c r="E49" s="12"/>
      <c r="F49" s="12"/>
      <c r="G49" s="12"/>
    </row>
    <row r="50" spans="2:7" x14ac:dyDescent="0.25">
      <c r="B50" s="3">
        <v>47</v>
      </c>
      <c r="C50" s="4" t="s">
        <v>27</v>
      </c>
      <c r="D50" s="4" t="str">
        <f t="shared" si="0"/>
        <v>H2</v>
      </c>
      <c r="E50" s="12"/>
      <c r="F50" s="12"/>
      <c r="G50" s="12"/>
    </row>
    <row r="51" spans="2:7" x14ac:dyDescent="0.25">
      <c r="B51" s="3">
        <v>48</v>
      </c>
      <c r="C51" s="4" t="s">
        <v>24</v>
      </c>
      <c r="D51" s="4" t="str">
        <f t="shared" si="0"/>
        <v>H2</v>
      </c>
      <c r="E51" s="12"/>
      <c r="F51" s="12"/>
      <c r="G51" s="12"/>
    </row>
    <row r="52" spans="2:7" x14ac:dyDescent="0.25">
      <c r="B52" s="3">
        <v>49</v>
      </c>
      <c r="C52" s="4" t="s">
        <v>28</v>
      </c>
      <c r="D52" s="4" t="str">
        <f t="shared" si="0"/>
        <v>H2</v>
      </c>
      <c r="E52" s="12"/>
      <c r="F52" s="12"/>
      <c r="G52" s="12"/>
    </row>
    <row r="53" spans="2:7" x14ac:dyDescent="0.25">
      <c r="B53" s="3">
        <v>50</v>
      </c>
      <c r="C53" s="4" t="s">
        <v>31</v>
      </c>
      <c r="D53" s="4" t="str">
        <f t="shared" si="0"/>
        <v>H2</v>
      </c>
      <c r="E53" s="12"/>
      <c r="F53" s="12"/>
      <c r="G53" s="12"/>
    </row>
    <row r="54" spans="2:7" x14ac:dyDescent="0.25">
      <c r="B54" s="3">
        <v>51</v>
      </c>
      <c r="C54" s="4" t="s">
        <v>26</v>
      </c>
      <c r="D54" s="4" t="str">
        <f t="shared" si="0"/>
        <v>H1</v>
      </c>
      <c r="E54" s="12"/>
      <c r="F54" s="12"/>
      <c r="G54" s="12"/>
    </row>
    <row r="55" spans="2:7" x14ac:dyDescent="0.25">
      <c r="B55" s="3">
        <v>52</v>
      </c>
      <c r="C55" s="4" t="s">
        <v>26</v>
      </c>
      <c r="D55" s="4" t="str">
        <f t="shared" si="0"/>
        <v>H1</v>
      </c>
      <c r="E55" s="12"/>
      <c r="F55" s="12"/>
      <c r="G55" s="12"/>
    </row>
    <row r="56" spans="2:7" x14ac:dyDescent="0.25">
      <c r="B56" s="3">
        <v>53</v>
      </c>
      <c r="C56" s="4" t="s">
        <v>28</v>
      </c>
      <c r="D56" s="4" t="str">
        <f t="shared" si="0"/>
        <v>H2</v>
      </c>
      <c r="E56" s="12"/>
      <c r="F56" s="12"/>
      <c r="G56" s="12"/>
    </row>
    <row r="57" spans="2:7" x14ac:dyDescent="0.25">
      <c r="B57" s="3">
        <v>54</v>
      </c>
      <c r="C57" s="4" t="s">
        <v>26</v>
      </c>
      <c r="D57" s="4" t="str">
        <f t="shared" si="0"/>
        <v>H1</v>
      </c>
      <c r="E57" s="12"/>
      <c r="F57" s="12"/>
      <c r="G57" s="12"/>
    </row>
    <row r="58" spans="2:7" x14ac:dyDescent="0.25">
      <c r="B58" s="3">
        <v>55</v>
      </c>
      <c r="C58" s="4" t="s">
        <v>26</v>
      </c>
      <c r="D58" s="4" t="str">
        <f t="shared" si="0"/>
        <v>H1</v>
      </c>
      <c r="E58" s="12"/>
      <c r="F58" s="12"/>
      <c r="G58" s="12"/>
    </row>
    <row r="59" spans="2:7" x14ac:dyDescent="0.25">
      <c r="B59" s="3">
        <v>56</v>
      </c>
      <c r="C59" s="4" t="s">
        <v>31</v>
      </c>
      <c r="D59" s="4" t="str">
        <f t="shared" si="0"/>
        <v>H2</v>
      </c>
      <c r="E59" s="12"/>
      <c r="F59" s="12"/>
      <c r="G59" s="12"/>
    </row>
    <row r="60" spans="2:7" x14ac:dyDescent="0.25">
      <c r="B60" s="3">
        <v>57</v>
      </c>
      <c r="C60" s="4" t="s">
        <v>26</v>
      </c>
      <c r="D60" s="4" t="str">
        <f t="shared" si="0"/>
        <v>H1</v>
      </c>
      <c r="E60" s="12"/>
      <c r="F60" s="12"/>
      <c r="G60" s="12"/>
    </row>
    <row r="61" spans="2:7" x14ac:dyDescent="0.25">
      <c r="B61" s="3">
        <v>58</v>
      </c>
      <c r="C61" s="4" t="s">
        <v>26</v>
      </c>
      <c r="D61" s="4" t="str">
        <f t="shared" si="0"/>
        <v>H1</v>
      </c>
      <c r="E61" s="12"/>
      <c r="F61" s="12"/>
      <c r="G61" s="12"/>
    </row>
    <row r="62" spans="2:7" x14ac:dyDescent="0.25">
      <c r="B62" s="3">
        <v>59</v>
      </c>
      <c r="C62" s="4" t="s">
        <v>23</v>
      </c>
      <c r="D62" s="4" t="str">
        <f t="shared" si="0"/>
        <v>H1</v>
      </c>
      <c r="E62" s="12"/>
      <c r="F62" s="12"/>
      <c r="G62" s="12"/>
    </row>
    <row r="63" spans="2:7" x14ac:dyDescent="0.25">
      <c r="B63" s="3">
        <v>60</v>
      </c>
      <c r="C63" s="4" t="s">
        <v>23</v>
      </c>
      <c r="D63" s="4" t="str">
        <f t="shared" si="0"/>
        <v>H1</v>
      </c>
      <c r="E63" s="12"/>
      <c r="F63" s="12"/>
      <c r="G63" s="12"/>
    </row>
    <row r="64" spans="2:7" x14ac:dyDescent="0.25">
      <c r="B64" s="3">
        <v>61</v>
      </c>
      <c r="C64" s="4" t="s">
        <v>23</v>
      </c>
      <c r="D64" s="4" t="str">
        <f t="shared" si="0"/>
        <v>H1</v>
      </c>
      <c r="E64" s="12"/>
      <c r="F64" s="12"/>
      <c r="G64" s="12"/>
    </row>
    <row r="65" spans="2:7" x14ac:dyDescent="0.25">
      <c r="B65" s="3">
        <v>62</v>
      </c>
      <c r="C65" s="4" t="s">
        <v>23</v>
      </c>
      <c r="D65" s="4" t="str">
        <f t="shared" si="0"/>
        <v>H1</v>
      </c>
      <c r="E65" s="12"/>
      <c r="F65" s="12"/>
      <c r="G65" s="12"/>
    </row>
    <row r="66" spans="2:7" x14ac:dyDescent="0.25">
      <c r="B66" s="3">
        <v>63</v>
      </c>
      <c r="C66" s="4" t="s">
        <v>22</v>
      </c>
      <c r="D66" s="4" t="str">
        <f t="shared" si="0"/>
        <v>H1</v>
      </c>
      <c r="E66" s="12"/>
      <c r="F66" s="12"/>
      <c r="G66" s="12"/>
    </row>
    <row r="67" spans="2:7" x14ac:dyDescent="0.25">
      <c r="B67" s="3">
        <v>64</v>
      </c>
      <c r="C67" s="4" t="s">
        <v>27</v>
      </c>
      <c r="D67" s="4" t="str">
        <f t="shared" si="0"/>
        <v>H2</v>
      </c>
      <c r="E67" s="12"/>
      <c r="F67" s="12"/>
      <c r="G67" s="12"/>
    </row>
    <row r="68" spans="2:7" x14ac:dyDescent="0.25">
      <c r="B68" s="3">
        <v>65</v>
      </c>
      <c r="C68" s="4" t="s">
        <v>27</v>
      </c>
      <c r="D68" s="4" t="str">
        <f t="shared" ref="D68:D98" si="3">VLOOKUP(C68,$C$100:$D$107,2,FALSE)</f>
        <v>H2</v>
      </c>
      <c r="E68" s="12"/>
      <c r="F68" s="12"/>
      <c r="G68" s="12"/>
    </row>
    <row r="69" spans="2:7" x14ac:dyDescent="0.25">
      <c r="B69" s="3">
        <v>66</v>
      </c>
      <c r="C69" s="4" t="s">
        <v>25</v>
      </c>
      <c r="D69" s="4" t="str">
        <f t="shared" si="3"/>
        <v>H3</v>
      </c>
      <c r="E69" s="12"/>
      <c r="F69" s="12"/>
      <c r="G69" s="12"/>
    </row>
    <row r="70" spans="2:7" x14ac:dyDescent="0.25">
      <c r="B70" s="3">
        <v>67</v>
      </c>
      <c r="C70" s="4" t="s">
        <v>26</v>
      </c>
      <c r="D70" s="4" t="str">
        <f t="shared" si="3"/>
        <v>H1</v>
      </c>
      <c r="E70" s="12"/>
      <c r="F70" s="12"/>
      <c r="G70" s="12"/>
    </row>
    <row r="71" spans="2:7" x14ac:dyDescent="0.25">
      <c r="B71" s="3">
        <v>68</v>
      </c>
      <c r="C71" s="4" t="s">
        <v>26</v>
      </c>
      <c r="D71" s="4" t="str">
        <f t="shared" si="3"/>
        <v>H1</v>
      </c>
      <c r="E71" s="12"/>
      <c r="F71" s="12"/>
      <c r="G71" s="12"/>
    </row>
    <row r="72" spans="2:7" x14ac:dyDescent="0.25">
      <c r="B72" s="3">
        <v>69</v>
      </c>
      <c r="C72" s="4" t="s">
        <v>22</v>
      </c>
      <c r="D72" s="4" t="str">
        <f t="shared" si="3"/>
        <v>H1</v>
      </c>
      <c r="E72" s="12"/>
      <c r="F72" s="12"/>
      <c r="G72" s="12"/>
    </row>
    <row r="73" spans="2:7" x14ac:dyDescent="0.25">
      <c r="B73" s="3">
        <v>70</v>
      </c>
      <c r="C73" s="4" t="s">
        <v>26</v>
      </c>
      <c r="D73" s="4" t="str">
        <f t="shared" si="3"/>
        <v>H1</v>
      </c>
      <c r="E73" s="12"/>
      <c r="F73" s="12"/>
      <c r="G73" s="12"/>
    </row>
    <row r="74" spans="2:7" x14ac:dyDescent="0.25">
      <c r="B74" s="3">
        <v>71</v>
      </c>
      <c r="C74" s="4" t="s">
        <v>22</v>
      </c>
      <c r="D74" s="4" t="str">
        <f t="shared" si="3"/>
        <v>H1</v>
      </c>
      <c r="E74" s="12"/>
      <c r="F74" s="12"/>
      <c r="G74" s="12"/>
    </row>
    <row r="75" spans="2:7" x14ac:dyDescent="0.25">
      <c r="B75" s="3">
        <v>72</v>
      </c>
      <c r="C75" s="4" t="s">
        <v>28</v>
      </c>
      <c r="D75" s="4" t="str">
        <f t="shared" si="3"/>
        <v>H2</v>
      </c>
      <c r="E75" s="12"/>
      <c r="F75" s="12"/>
      <c r="G75" s="12"/>
    </row>
    <row r="76" spans="2:7" x14ac:dyDescent="0.25">
      <c r="B76" s="3">
        <v>73</v>
      </c>
      <c r="C76" s="4" t="s">
        <v>22</v>
      </c>
      <c r="D76" s="4" t="str">
        <f t="shared" si="3"/>
        <v>H1</v>
      </c>
      <c r="E76" s="12"/>
      <c r="F76" s="12"/>
      <c r="G76" s="12"/>
    </row>
    <row r="77" spans="2:7" x14ac:dyDescent="0.25">
      <c r="B77" s="3">
        <v>74</v>
      </c>
      <c r="C77" s="4" t="s">
        <v>22</v>
      </c>
      <c r="D77" s="4" t="str">
        <f t="shared" si="3"/>
        <v>H1</v>
      </c>
      <c r="E77" s="12"/>
      <c r="F77" s="12"/>
      <c r="G77" s="12"/>
    </row>
    <row r="78" spans="2:7" x14ac:dyDescent="0.25">
      <c r="B78" s="3">
        <v>75</v>
      </c>
      <c r="C78" s="4" t="s">
        <v>23</v>
      </c>
      <c r="D78" s="4" t="str">
        <f t="shared" si="3"/>
        <v>H1</v>
      </c>
      <c r="E78" s="12"/>
      <c r="F78" s="12"/>
      <c r="G78" s="12"/>
    </row>
    <row r="79" spans="2:7" x14ac:dyDescent="0.25">
      <c r="B79" s="3">
        <v>76</v>
      </c>
      <c r="C79" s="4" t="s">
        <v>23</v>
      </c>
      <c r="D79" s="4" t="str">
        <f t="shared" si="3"/>
        <v>H1</v>
      </c>
      <c r="E79" s="12"/>
      <c r="F79" s="12"/>
      <c r="G79" s="12"/>
    </row>
    <row r="80" spans="2:7" x14ac:dyDescent="0.25">
      <c r="B80" s="3">
        <v>77</v>
      </c>
      <c r="C80" s="4" t="s">
        <v>23</v>
      </c>
      <c r="D80" s="4" t="str">
        <f t="shared" si="3"/>
        <v>H1</v>
      </c>
      <c r="E80" s="12"/>
      <c r="F80" s="12"/>
      <c r="G80" s="12"/>
    </row>
    <row r="81" spans="2:7" x14ac:dyDescent="0.25">
      <c r="B81" s="3">
        <v>78</v>
      </c>
      <c r="C81" s="4" t="s">
        <v>23</v>
      </c>
      <c r="D81" s="4" t="str">
        <f t="shared" si="3"/>
        <v>H1</v>
      </c>
      <c r="E81" s="12"/>
      <c r="F81" s="12"/>
      <c r="G81" s="12"/>
    </row>
    <row r="82" spans="2:7" x14ac:dyDescent="0.25">
      <c r="B82" s="3">
        <v>79</v>
      </c>
      <c r="C82" s="4" t="s">
        <v>28</v>
      </c>
      <c r="D82" s="4" t="str">
        <f t="shared" si="3"/>
        <v>H2</v>
      </c>
      <c r="E82" s="12"/>
    </row>
    <row r="83" spans="2:7" x14ac:dyDescent="0.25">
      <c r="B83" s="3">
        <v>80</v>
      </c>
      <c r="C83" s="4" t="s">
        <v>23</v>
      </c>
      <c r="D83" s="4" t="str">
        <f t="shared" si="3"/>
        <v>H1</v>
      </c>
      <c r="E83" s="12"/>
    </row>
    <row r="84" spans="2:7" x14ac:dyDescent="0.25">
      <c r="B84" s="3">
        <v>81</v>
      </c>
      <c r="C84" s="4" t="s">
        <v>27</v>
      </c>
      <c r="D84" s="4" t="str">
        <f t="shared" si="3"/>
        <v>H2</v>
      </c>
      <c r="E84" s="12"/>
    </row>
    <row r="85" spans="2:7" x14ac:dyDescent="0.25">
      <c r="B85" s="3">
        <v>82</v>
      </c>
      <c r="C85" s="4" t="s">
        <v>27</v>
      </c>
      <c r="D85" s="4" t="str">
        <f t="shared" si="3"/>
        <v>H2</v>
      </c>
      <c r="E85" s="12"/>
    </row>
    <row r="86" spans="2:7" x14ac:dyDescent="0.25">
      <c r="B86" s="3">
        <v>83</v>
      </c>
      <c r="C86" s="4" t="s">
        <v>25</v>
      </c>
      <c r="D86" s="4" t="str">
        <f t="shared" si="3"/>
        <v>H3</v>
      </c>
      <c r="E86" s="12"/>
    </row>
    <row r="87" spans="2:7" x14ac:dyDescent="0.25">
      <c r="B87" s="3">
        <v>84</v>
      </c>
      <c r="C87" s="4" t="s">
        <v>24</v>
      </c>
      <c r="D87" s="4" t="str">
        <f t="shared" si="3"/>
        <v>H2</v>
      </c>
      <c r="E87" s="12"/>
    </row>
    <row r="88" spans="2:7" x14ac:dyDescent="0.25">
      <c r="B88" s="3">
        <v>85</v>
      </c>
      <c r="C88" s="4" t="s">
        <v>28</v>
      </c>
      <c r="D88" s="4" t="str">
        <f t="shared" si="3"/>
        <v>H2</v>
      </c>
      <c r="E88" s="12"/>
    </row>
    <row r="89" spans="2:7" x14ac:dyDescent="0.25">
      <c r="B89" s="3">
        <v>86</v>
      </c>
      <c r="C89" s="4" t="s">
        <v>28</v>
      </c>
      <c r="D89" s="4" t="str">
        <f t="shared" si="3"/>
        <v>H2</v>
      </c>
      <c r="E89" s="12"/>
    </row>
    <row r="90" spans="2:7" x14ac:dyDescent="0.25">
      <c r="B90" s="3">
        <v>87</v>
      </c>
      <c r="C90" s="4" t="s">
        <v>22</v>
      </c>
      <c r="D90" s="4" t="str">
        <f t="shared" si="3"/>
        <v>H1</v>
      </c>
      <c r="E90" s="12"/>
    </row>
    <row r="91" spans="2:7" x14ac:dyDescent="0.25">
      <c r="B91" s="3">
        <v>88</v>
      </c>
      <c r="C91" s="4" t="s">
        <v>26</v>
      </c>
      <c r="D91" s="4" t="str">
        <f t="shared" si="3"/>
        <v>H1</v>
      </c>
      <c r="E91" s="12"/>
    </row>
    <row r="92" spans="2:7" x14ac:dyDescent="0.25">
      <c r="B92" s="3">
        <v>89</v>
      </c>
      <c r="C92" s="4" t="s">
        <v>26</v>
      </c>
      <c r="D92" s="4" t="str">
        <f t="shared" si="3"/>
        <v>H1</v>
      </c>
      <c r="E92" s="12"/>
    </row>
    <row r="93" spans="2:7" x14ac:dyDescent="0.25">
      <c r="B93" s="3">
        <v>90</v>
      </c>
      <c r="C93" s="4" t="s">
        <v>26</v>
      </c>
      <c r="D93" s="4" t="str">
        <f t="shared" si="3"/>
        <v>H1</v>
      </c>
      <c r="E93" s="12"/>
    </row>
    <row r="94" spans="2:7" x14ac:dyDescent="0.25">
      <c r="B94" s="3">
        <v>91</v>
      </c>
      <c r="C94" s="4" t="s">
        <v>23</v>
      </c>
      <c r="D94" s="4" t="str">
        <f t="shared" si="3"/>
        <v>H1</v>
      </c>
      <c r="E94" s="12"/>
    </row>
    <row r="95" spans="2:7" x14ac:dyDescent="0.25">
      <c r="B95" s="3">
        <v>92</v>
      </c>
      <c r="C95" s="4" t="s">
        <v>23</v>
      </c>
      <c r="D95" s="4" t="str">
        <f t="shared" si="3"/>
        <v>H1</v>
      </c>
      <c r="E95" s="12"/>
    </row>
    <row r="96" spans="2:7" x14ac:dyDescent="0.25">
      <c r="B96" s="3">
        <v>93</v>
      </c>
      <c r="C96" s="4" t="s">
        <v>23</v>
      </c>
      <c r="D96" s="4" t="str">
        <f t="shared" si="3"/>
        <v>H1</v>
      </c>
      <c r="E96" s="12"/>
    </row>
    <row r="97" spans="2:5" x14ac:dyDescent="0.25">
      <c r="B97" s="3">
        <v>94</v>
      </c>
      <c r="C97" s="4" t="s">
        <v>23</v>
      </c>
      <c r="D97" s="4" t="str">
        <f t="shared" si="3"/>
        <v>H1</v>
      </c>
      <c r="E97" s="12"/>
    </row>
    <row r="98" spans="2:5" x14ac:dyDescent="0.25">
      <c r="B98" s="3">
        <v>95</v>
      </c>
      <c r="C98" s="4" t="s">
        <v>23</v>
      </c>
      <c r="D98" s="4" t="str">
        <f t="shared" si="3"/>
        <v>H1</v>
      </c>
      <c r="E98" s="12"/>
    </row>
    <row r="100" spans="2:5" x14ac:dyDescent="0.25">
      <c r="C100" s="35" t="s">
        <v>23</v>
      </c>
      <c r="D100" s="35" t="str">
        <f t="shared" ref="D100:D106" si="4">IF(C100="H1a","H1",IF(C100="H1b","H1",IF(C100="H1c","H1",IF(C100="H2a","H2",IF(C100="H2b","H2",IF(C100="H2c","H2",IF(C100="H2d","H2",IF(C100="H3","H3",))))))))</f>
        <v>H1</v>
      </c>
    </row>
    <row r="101" spans="2:5" x14ac:dyDescent="0.25">
      <c r="C101" s="35" t="s">
        <v>26</v>
      </c>
      <c r="D101" s="35" t="str">
        <f t="shared" si="4"/>
        <v>H1</v>
      </c>
    </row>
    <row r="102" spans="2:5" x14ac:dyDescent="0.25">
      <c r="C102" s="35" t="s">
        <v>22</v>
      </c>
      <c r="D102" s="35" t="str">
        <f t="shared" si="4"/>
        <v>H1</v>
      </c>
    </row>
    <row r="103" spans="2:5" x14ac:dyDescent="0.25">
      <c r="C103" s="35" t="s">
        <v>31</v>
      </c>
      <c r="D103" s="35" t="str">
        <f t="shared" si="4"/>
        <v>H2</v>
      </c>
    </row>
    <row r="104" spans="2:5" x14ac:dyDescent="0.25">
      <c r="C104" s="35" t="s">
        <v>28</v>
      </c>
      <c r="D104" s="35" t="str">
        <f t="shared" si="4"/>
        <v>H2</v>
      </c>
    </row>
    <row r="105" spans="2:5" x14ac:dyDescent="0.25">
      <c r="C105" s="35" t="s">
        <v>27</v>
      </c>
      <c r="D105" s="35" t="str">
        <f t="shared" si="4"/>
        <v>H2</v>
      </c>
    </row>
    <row r="106" spans="2:5" x14ac:dyDescent="0.25">
      <c r="C106" s="35" t="s">
        <v>24</v>
      </c>
      <c r="D106" s="35" t="str">
        <f t="shared" si="4"/>
        <v>H2</v>
      </c>
    </row>
    <row r="107" spans="2:5" x14ac:dyDescent="0.25">
      <c r="C107" s="35" t="s">
        <v>25</v>
      </c>
      <c r="D107" s="36" t="s">
        <v>25</v>
      </c>
    </row>
  </sheetData>
  <sheetProtection algorithmName="SHA-512" hashValue="di8SfAQHKU9Rrr8dW3vPy1vUFcsgFPzlRMcM2ZYfKVLugU5Kj/RRR6cmRRNCxQn5a7MsV/Gv0hTsC0dqIi0I4A==" saltValue="mEfeLclIWpTpz5ltnUWpnQ==" spinCount="100000" sheet="1" objects="1" scenarios="1" formatColumns="0" formatRows="0" selectLockedCells="1"/>
  <mergeCells count="2">
    <mergeCell ref="G20:H20"/>
    <mergeCell ref="G16:H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2:L32"/>
  <sheetViews>
    <sheetView zoomScale="70" zoomScaleNormal="70" workbookViewId="0"/>
  </sheetViews>
  <sheetFormatPr baseColWidth="10" defaultRowHeight="15" x14ac:dyDescent="0.25"/>
  <cols>
    <col min="1" max="1" width="3.7109375" customWidth="1"/>
    <col min="2" max="2" width="27.28515625" bestFit="1" customWidth="1"/>
    <col min="3" max="3" width="17.42578125" customWidth="1"/>
    <col min="4" max="4" width="15.140625" customWidth="1"/>
    <col min="5" max="5" width="3.7109375" customWidth="1"/>
    <col min="6" max="6" width="8" bestFit="1" customWidth="1"/>
    <col min="7" max="7" width="17" bestFit="1" customWidth="1"/>
    <col min="8" max="8" width="11" bestFit="1" customWidth="1"/>
    <col min="9" max="11" width="20.7109375" customWidth="1"/>
  </cols>
  <sheetData>
    <row r="2" spans="2:12" s="1" customFormat="1" ht="15" customHeight="1" x14ac:dyDescent="0.25">
      <c r="B2" s="169" t="s">
        <v>45</v>
      </c>
      <c r="C2" s="169"/>
      <c r="D2" s="169"/>
      <c r="F2" s="162" t="s">
        <v>143</v>
      </c>
      <c r="G2" s="163"/>
      <c r="H2" s="163"/>
      <c r="I2" s="91"/>
      <c r="J2" s="88"/>
      <c r="K2" s="88"/>
    </row>
    <row r="3" spans="2:12" x14ac:dyDescent="0.25">
      <c r="B3" s="48" t="s">
        <v>4</v>
      </c>
      <c r="C3" s="41">
        <v>1.163</v>
      </c>
      <c r="D3" s="41" t="s">
        <v>5</v>
      </c>
      <c r="F3" s="164"/>
      <c r="G3" s="165"/>
      <c r="H3" s="165"/>
      <c r="I3" s="91"/>
      <c r="J3" s="88"/>
      <c r="K3" s="88"/>
    </row>
    <row r="4" spans="2:12" x14ac:dyDescent="0.25">
      <c r="B4" s="49" t="s">
        <v>6</v>
      </c>
      <c r="C4" s="41">
        <v>1</v>
      </c>
      <c r="D4" s="41" t="s">
        <v>7</v>
      </c>
      <c r="F4" s="16" t="s">
        <v>37</v>
      </c>
      <c r="G4" s="16" t="s">
        <v>0</v>
      </c>
      <c r="H4" s="86" t="s">
        <v>81</v>
      </c>
      <c r="I4" s="92"/>
      <c r="J4" s="89"/>
      <c r="K4" s="89"/>
    </row>
    <row r="5" spans="2:12" x14ac:dyDescent="0.25">
      <c r="B5" s="49" t="s">
        <v>8</v>
      </c>
      <c r="C5" s="41">
        <v>40</v>
      </c>
      <c r="D5" s="41" t="s">
        <v>2</v>
      </c>
      <c r="F5" s="16" t="s">
        <v>23</v>
      </c>
      <c r="G5" s="94">
        <v>10.5</v>
      </c>
      <c r="H5" s="87">
        <v>2</v>
      </c>
      <c r="I5" s="93"/>
      <c r="J5" s="90"/>
      <c r="K5" s="90"/>
    </row>
    <row r="6" spans="2:12" s="1" customFormat="1" x14ac:dyDescent="0.25">
      <c r="B6" s="40" t="s">
        <v>62</v>
      </c>
      <c r="C6" s="42">
        <f>VLOOKUP(zone1,F5:G12,2,FALSE)</f>
        <v>10.5</v>
      </c>
      <c r="D6" s="21" t="s">
        <v>2</v>
      </c>
      <c r="F6" s="16" t="s">
        <v>26</v>
      </c>
      <c r="G6" s="94">
        <v>10.5</v>
      </c>
      <c r="H6" s="87">
        <v>3</v>
      </c>
      <c r="I6" s="93"/>
      <c r="J6" s="90"/>
      <c r="K6" s="90"/>
    </row>
    <row r="7" spans="2:12" x14ac:dyDescent="0.25">
      <c r="B7" s="43"/>
      <c r="C7" s="43"/>
      <c r="D7" s="43"/>
      <c r="F7" s="16" t="s">
        <v>22</v>
      </c>
      <c r="G7" s="94">
        <v>10.5</v>
      </c>
      <c r="H7" s="87">
        <v>4</v>
      </c>
      <c r="I7" s="93"/>
      <c r="J7" s="90"/>
      <c r="K7" s="90"/>
    </row>
    <row r="8" spans="2:12" x14ac:dyDescent="0.25">
      <c r="B8" s="166" t="s">
        <v>60</v>
      </c>
      <c r="C8" s="167"/>
      <c r="D8" s="168"/>
      <c r="F8" s="16" t="s">
        <v>31</v>
      </c>
      <c r="G8" s="94">
        <v>12</v>
      </c>
      <c r="H8" s="87">
        <v>5</v>
      </c>
      <c r="I8" s="93"/>
      <c r="J8" s="90"/>
      <c r="K8" s="90"/>
    </row>
    <row r="9" spans="2:12" x14ac:dyDescent="0.25">
      <c r="B9" s="38" t="s">
        <v>59</v>
      </c>
      <c r="C9" s="120">
        <f>VLOOKUP(Usage,ELEMENTS!J15:O28,4,FALSE)</f>
        <v>16.230106044045343</v>
      </c>
      <c r="D9" s="21" t="s">
        <v>46</v>
      </c>
      <c r="F9" s="16" t="s">
        <v>28</v>
      </c>
      <c r="G9" s="94">
        <v>12</v>
      </c>
      <c r="H9" s="87">
        <v>6</v>
      </c>
      <c r="I9" s="93"/>
      <c r="J9" s="90"/>
      <c r="K9" s="90"/>
    </row>
    <row r="10" spans="2:12" x14ac:dyDescent="0.25">
      <c r="B10" s="38" t="s">
        <v>58</v>
      </c>
      <c r="C10" s="21">
        <f>VLOOKUP(Usage,ELEMENTS!J15:O28,3,FALSE)</f>
        <v>1280</v>
      </c>
      <c r="D10" s="21" t="s">
        <v>1</v>
      </c>
      <c r="F10" s="16" t="s">
        <v>27</v>
      </c>
      <c r="G10" s="94">
        <v>12</v>
      </c>
      <c r="H10" s="87">
        <v>7</v>
      </c>
      <c r="I10" s="93"/>
      <c r="J10" s="90"/>
      <c r="K10" s="90"/>
    </row>
    <row r="11" spans="2:12" x14ac:dyDescent="0.25">
      <c r="B11" s="38" t="s">
        <v>83</v>
      </c>
      <c r="C11" s="44">
        <f>ρw*Cw*a*Nu*(θuw-θef)</f>
        <v>712743.15931152599</v>
      </c>
      <c r="D11" s="37" t="s">
        <v>84</v>
      </c>
      <c r="F11" s="16" t="s">
        <v>24</v>
      </c>
      <c r="G11" s="94">
        <v>12</v>
      </c>
      <c r="H11" s="87">
        <v>8</v>
      </c>
      <c r="I11" s="93"/>
      <c r="J11" s="90"/>
      <c r="K11" s="90"/>
    </row>
    <row r="12" spans="2:12" x14ac:dyDescent="0.25">
      <c r="B12" s="38" t="s">
        <v>123</v>
      </c>
      <c r="C12" s="85">
        <f>VLOOKUP(TITREV!D14,ELEMENTS!F3:G4,2,FALSE)</f>
        <v>52</v>
      </c>
      <c r="D12" s="21" t="s">
        <v>124</v>
      </c>
      <c r="F12" s="16" t="s">
        <v>25</v>
      </c>
      <c r="G12" s="94">
        <v>14.5</v>
      </c>
      <c r="H12" s="87">
        <v>9</v>
      </c>
      <c r="I12" s="93"/>
      <c r="J12" s="90"/>
      <c r="K12" s="90"/>
    </row>
    <row r="13" spans="2:12" s="1" customFormat="1" x14ac:dyDescent="0.25">
      <c r="B13" s="78" t="s">
        <v>125</v>
      </c>
      <c r="C13" s="79">
        <f>F_occ*Qw_hebdo/1000</f>
        <v>37062.644284199348</v>
      </c>
      <c r="D13" s="80" t="s">
        <v>38</v>
      </c>
      <c r="H13"/>
      <c r="I13"/>
      <c r="J13"/>
      <c r="K13"/>
    </row>
    <row r="14" spans="2:12" s="8" customFormat="1" x14ac:dyDescent="0.25">
      <c r="B14" s="97"/>
      <c r="C14" s="98"/>
      <c r="D14" s="99"/>
      <c r="E14" s="34"/>
      <c r="G14" s="1"/>
      <c r="H14" s="1"/>
      <c r="I14" s="1"/>
      <c r="J14" s="1"/>
      <c r="K14" s="1"/>
      <c r="L14" s="1"/>
    </row>
    <row r="15" spans="2:12" s="8" customFormat="1" x14ac:dyDescent="0.25">
      <c r="B15" s="166" t="s">
        <v>137</v>
      </c>
      <c r="C15" s="167"/>
      <c r="D15" s="168"/>
      <c r="E15" s="34"/>
      <c r="G15" s="1"/>
      <c r="H15" s="1"/>
      <c r="I15" s="1"/>
      <c r="J15" s="1"/>
      <c r="K15" s="1"/>
      <c r="L15" s="1"/>
    </row>
    <row r="16" spans="2:12" s="8" customFormat="1" x14ac:dyDescent="0.25">
      <c r="B16" s="50" t="s">
        <v>92</v>
      </c>
      <c r="C16" s="82">
        <f>MAX(VLOOKUP(statut_Ctrans,ELEMENTS!F23:G26,2,FALSE),VLOOKUP(statut_Eff_nom,ELEMENTS!F23:G26,2,FALSE))</f>
        <v>3</v>
      </c>
      <c r="D16" s="100" t="s">
        <v>1</v>
      </c>
      <c r="E16" s="34"/>
      <c r="G16" s="1"/>
      <c r="H16" s="1"/>
      <c r="I16" s="1"/>
      <c r="J16" s="1"/>
      <c r="K16" s="1"/>
      <c r="L16" s="1"/>
    </row>
    <row r="17" spans="2:12" x14ac:dyDescent="0.25">
      <c r="E17" s="8"/>
    </row>
    <row r="18" spans="2:12" x14ac:dyDescent="0.25">
      <c r="B18" s="166" t="s">
        <v>43</v>
      </c>
      <c r="C18" s="167"/>
      <c r="D18" s="168"/>
    </row>
    <row r="19" spans="2:12" x14ac:dyDescent="0.25">
      <c r="B19" s="50" t="s">
        <v>95</v>
      </c>
      <c r="C19" s="56">
        <f>IF(N_certif=1,Ctrans*Eff_nom,IF(N_certif=2,0.9*Ctrans*Eff_nom,IF(N_certif=3,MIN(0.8*Ctrans*Eff_nom,0.15),0.8*0.15)))</f>
        <v>0.15</v>
      </c>
      <c r="D19" s="37" t="s">
        <v>40</v>
      </c>
    </row>
    <row r="20" spans="2:12" x14ac:dyDescent="0.25">
      <c r="B20" s="40" t="s">
        <v>74</v>
      </c>
      <c r="C20" s="47">
        <f>VLOOKUP(Usage,ELEMENTS!J15:O28,5,FALSE)</f>
        <v>0.66</v>
      </c>
      <c r="D20" s="37" t="s">
        <v>40</v>
      </c>
      <c r="E20" s="1"/>
    </row>
    <row r="21" spans="2:12" s="1" customFormat="1" x14ac:dyDescent="0.25">
      <c r="B21" s="40" t="s">
        <v>71</v>
      </c>
      <c r="C21" s="46">
        <f>1-3/(θuw-θef)</f>
        <v>0.89830508474576276</v>
      </c>
      <c r="D21" s="37" t="s">
        <v>40</v>
      </c>
      <c r="J21"/>
      <c r="K21"/>
      <c r="L21"/>
    </row>
    <row r="22" spans="2:12" x14ac:dyDescent="0.25">
      <c r="B22" s="40" t="s">
        <v>72</v>
      </c>
      <c r="C22" s="46">
        <f>1-(Lvc*Fpam_vc+Lhvc*Fpam_hvc)</f>
        <v>0.96099999999999997</v>
      </c>
      <c r="D22" s="37" t="s">
        <v>40</v>
      </c>
    </row>
    <row r="23" spans="2:12" x14ac:dyDescent="0.25">
      <c r="B23" s="40" t="s">
        <v>73</v>
      </c>
      <c r="C23" s="46">
        <f>1-Laval*Fpav_vc_hvc</f>
        <v>0.99750000000000005</v>
      </c>
      <c r="D23" s="37" t="s">
        <v>40</v>
      </c>
    </row>
    <row r="24" spans="2:12" s="1" customFormat="1" x14ac:dyDescent="0.25">
      <c r="B24" s="40" t="s">
        <v>96</v>
      </c>
      <c r="C24" s="101">
        <f>1-(Lvc+Lhvc)/(215.55*Napp_récupérateur^0.141)</f>
        <v>0.94256086757934776</v>
      </c>
      <c r="D24" s="37" t="s">
        <v>40</v>
      </c>
    </row>
    <row r="25" spans="2:12" s="1" customFormat="1" x14ac:dyDescent="0.25">
      <c r="B25" s="40" t="s">
        <v>98</v>
      </c>
      <c r="C25" s="101">
        <f>IF(Napp_récupérateur&lt;2,1,0.8/SQRT(Napp_récupérateur-1))</f>
        <v>0.1485562705416415</v>
      </c>
      <c r="D25" s="37" t="s">
        <v>1</v>
      </c>
    </row>
    <row r="26" spans="2:12" x14ac:dyDescent="0.25">
      <c r="B26" s="40" t="s">
        <v>41</v>
      </c>
      <c r="C26" s="47">
        <f>VLOOKUP(Energie,ELEMENTS!J3:P11,4,FALSE)</f>
        <v>1</v>
      </c>
      <c r="D26" s="37" t="s">
        <v>40</v>
      </c>
    </row>
    <row r="27" spans="2:12" x14ac:dyDescent="0.25">
      <c r="B27" s="40" t="s">
        <v>61</v>
      </c>
      <c r="C27" s="47">
        <f>VLOOKUP(Energie,ELEMENTS!J3:P11,3,FALSE)</f>
        <v>1</v>
      </c>
      <c r="D27" s="37" t="s">
        <v>40</v>
      </c>
    </row>
    <row r="28" spans="2:12" x14ac:dyDescent="0.25">
      <c r="B28" s="39" t="s">
        <v>39</v>
      </c>
      <c r="C28" s="45">
        <f>Qw_base*Eff_recup*P*F_paa*F_pam*F_pav*Cdéph/(Rpn*Corré)-Qrelevage*2.58/VLOOKUP(Energie,ELEMENTS!J3:P11,6,FALSE)</f>
        <v>2020.0432025050038</v>
      </c>
      <c r="D28" s="41" t="s">
        <v>38</v>
      </c>
    </row>
    <row r="30" spans="2:12" x14ac:dyDescent="0.25">
      <c r="B30" s="166" t="s">
        <v>99</v>
      </c>
      <c r="C30" s="167"/>
      <c r="D30" s="168"/>
    </row>
    <row r="31" spans="2:12" x14ac:dyDescent="0.25">
      <c r="B31" s="38" t="s">
        <v>105</v>
      </c>
      <c r="C31" s="102">
        <f>VLOOKUP(TITREV!D40,ELEMENTS!F29:G31,2,FALSE)</f>
        <v>1.1141720290623112</v>
      </c>
      <c r="D31" s="21" t="s">
        <v>106</v>
      </c>
    </row>
    <row r="32" spans="2:12" x14ac:dyDescent="0.25">
      <c r="B32" s="38" t="s">
        <v>107</v>
      </c>
      <c r="C32" s="102">
        <f>2.58*Prelevage*F_occ*a*Nu*P/(480*MAX(Napp_récupérateur,1)*Csimultanéité)</f>
        <v>958.06965182241424</v>
      </c>
      <c r="D32" s="37" t="s">
        <v>108</v>
      </c>
    </row>
  </sheetData>
  <sheetProtection algorithmName="SHA-512" hashValue="Gii97j40PdWouaeJoc9ImsKeN2b72r2GPBy73nibCt4fHw6EITBGoR2I8D5aTHKOdzCZjstFC3zl2M17Euc7Mg==" saltValue="iySgeErousLqGXwr+9xuaA==" spinCount="100000" sheet="1" objects="1" scenarios="1" formatColumns="0" formatRows="0" selectLockedCells="1"/>
  <mergeCells count="6">
    <mergeCell ref="F2:H3"/>
    <mergeCell ref="B15:D15"/>
    <mergeCell ref="B30:D30"/>
    <mergeCell ref="B2:D2"/>
    <mergeCell ref="B8:D8"/>
    <mergeCell ref="B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45</vt:i4>
      </vt:variant>
    </vt:vector>
  </HeadingPairs>
  <TitlesOfParts>
    <vt:vector size="48" baseType="lpstr">
      <vt:lpstr>TITREV</vt:lpstr>
      <vt:lpstr>ELEMENTS</vt:lpstr>
      <vt:lpstr>CALCULS Gain</vt:lpstr>
      <vt:lpstr>a</vt:lpstr>
      <vt:lpstr>Cdéph</vt:lpstr>
      <vt:lpstr>Corré</vt:lpstr>
      <vt:lpstr>Csimultanéité</vt:lpstr>
      <vt:lpstr>Ctrans</vt:lpstr>
      <vt:lpstr>Cw</vt:lpstr>
      <vt:lpstr>Ddéph</vt:lpstr>
      <vt:lpstr>Eff_nom</vt:lpstr>
      <vt:lpstr>Eff_recup</vt:lpstr>
      <vt:lpstr>Energie</vt:lpstr>
      <vt:lpstr>F_occ</vt:lpstr>
      <vt:lpstr>F_paa</vt:lpstr>
      <vt:lpstr>F_pam</vt:lpstr>
      <vt:lpstr>F_pav</vt:lpstr>
      <vt:lpstr>Fpam_hvc</vt:lpstr>
      <vt:lpstr>Fpam_vc</vt:lpstr>
      <vt:lpstr>Fpav_vc_hvc</vt:lpstr>
      <vt:lpstr>Gain</vt:lpstr>
      <vt:lpstr>gain_app</vt:lpstr>
      <vt:lpstr>gain_em</vt:lpstr>
      <vt:lpstr>Laval</vt:lpstr>
      <vt:lpstr>Lhvc</vt:lpstr>
      <vt:lpstr>Lvc</vt:lpstr>
      <vt:lpstr>N_certif</vt:lpstr>
      <vt:lpstr>Napp_récupérateur</vt:lpstr>
      <vt:lpstr>Nb</vt:lpstr>
      <vt:lpstr>Nu</vt:lpstr>
      <vt:lpstr>P</vt:lpstr>
      <vt:lpstr>Prelevage</vt:lpstr>
      <vt:lpstr>Qrelevage</vt:lpstr>
      <vt:lpstr>Qw_base</vt:lpstr>
      <vt:lpstr>Qw_hebdo</vt:lpstr>
      <vt:lpstr>Rpn</vt:lpstr>
      <vt:lpstr>SHON</vt:lpstr>
      <vt:lpstr>SHON_sre</vt:lpstr>
      <vt:lpstr>statut_Ctrans</vt:lpstr>
      <vt:lpstr>statut_Eff_nom</vt:lpstr>
      <vt:lpstr>SU</vt:lpstr>
      <vt:lpstr>SU_sre</vt:lpstr>
      <vt:lpstr>Usage</vt:lpstr>
      <vt:lpstr>TITREV!Zone_d_impression</vt:lpstr>
      <vt:lpstr>zone1</vt:lpstr>
      <vt:lpstr>θef</vt:lpstr>
      <vt:lpstr>θuw</vt:lpstr>
      <vt:lpstr>ρw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sofiane batnini</dc:creator>
  <cp:lastModifiedBy>THIEBAUT Alois</cp:lastModifiedBy>
  <cp:lastPrinted>2017-06-15T11:29:47Z</cp:lastPrinted>
  <dcterms:created xsi:type="dcterms:W3CDTF">2011-12-17T10:03:39Z</dcterms:created>
  <dcterms:modified xsi:type="dcterms:W3CDTF">2018-04-05T14:44:42Z</dcterms:modified>
</cp:coreProperties>
</file>